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6930" tabRatio="769" firstSheet="10" activeTab="13"/>
  </bookViews>
  <sheets>
    <sheet name="Parâmetros" sheetId="1" r:id="rId1"/>
    <sheet name="Projeções" sheetId="2" r:id="rId2"/>
    <sheet name="RCL" sheetId="3" r:id="rId3"/>
    <sheet name="Pessoal" sheetId="4" r:id="rId4"/>
    <sheet name="Dívida" sheetId="5" r:id="rId5"/>
    <sheet name="Metas Cons" sheetId="6" r:id="rId6"/>
    <sheet name="MetasRPPS" sheetId="7" r:id="rId7"/>
    <sheet name="Metas PREF " sheetId="8" r:id="rId8"/>
    <sheet name=" Avaliação" sheetId="9" r:id="rId9"/>
    <sheet name="Comparação" sheetId="10" r:id="rId10"/>
    <sheet name=" Patrimônio" sheetId="11" r:id="rId11"/>
    <sheet name=" Alienação" sheetId="12" r:id="rId12"/>
    <sheet name="RPPS-Financeiro" sheetId="13" r:id="rId13"/>
    <sheet name="Renúncia" sheetId="14" r:id="rId14"/>
    <sheet name="DOCC" sheetId="15" r:id="rId15"/>
    <sheet name="DOCC(alternativa)" sheetId="16" r:id="rId16"/>
    <sheet name="Anexo Riscos" sheetId="17" r:id="rId17"/>
    <sheet name="Anexo III - Metas e Prioridades" sheetId="18" r:id="rId18"/>
    <sheet name="Anexo IV - Consdo Patrimônio" sheetId="19" r:id="rId19"/>
    <sheet name="PROGRAMA DE TRABALHO" sheetId="20" r:id="rId20"/>
    <sheet name="Dem. da desp. órgao e função" sheetId="21" r:id="rId21"/>
    <sheet name="Dem. Fun. Sub.Fun. e prog. pro" sheetId="22" r:id="rId22"/>
    <sheet name="anexo 8" sheetId="23" r:id="rId23"/>
  </sheets>
  <definedNames>
    <definedName name="_xlnm.Print_Area" localSheetId="22">'anexo 8'!$A$1:$F$210</definedName>
    <definedName name="_xlnm.Print_Area" localSheetId="21">'Dem. Fun. Sub.Fun. e prog. pro'!$B$1:$G$210</definedName>
    <definedName name="_xlnm.Print_Area" localSheetId="0">'Parâmetros'!$A$7:$G$26</definedName>
    <definedName name="_xlnm.Print_Area" localSheetId="1">'Projeções'!$A$1:$AL$160</definedName>
    <definedName name="Z_16B3F100_CCE8_11D8_BD62_000C6E3CD3F1_.wvu.Cols" localSheetId="0" hidden="1">'Parâmetros'!$C:$C,'Parâmetros'!#REF!</definedName>
    <definedName name="Z_16B3F100_CCE8_11D8_BD62_000C6E3CD3F1_.wvu.Rows" localSheetId="4" hidden="1">'Dívida'!$20:$20,'Dívida'!#REF!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<sst xmlns="http://schemas.openxmlformats.org/spreadsheetml/2006/main" count="3820" uniqueCount="1569">
  <si>
    <t>CONTAS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</si>
  <si>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</si>
  <si>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</si>
  <si>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</si>
  <si>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</si>
  <si>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</si>
  <si>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</si>
  <si>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</si>
  <si>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</si>
  <si>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</si>
  <si>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</si>
  <si>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</si>
  <si>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</si>
  <si>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</si>
  <si>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</si>
  <si>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</si>
  <si>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</si>
  <si>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</si>
  <si>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</si>
  <si>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</si>
  <si>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</si>
  <si>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</si>
  <si>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</si>
  <si>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</si>
  <si>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</si>
  <si>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</si>
  <si>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</si>
  <si>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</si>
  <si>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</si>
  <si>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</si>
  <si>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</si>
  <si>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</si>
  <si>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</si>
  <si>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</si>
  <si>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</si>
  <si>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</si>
  <si>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</si>
  <si>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</si>
  <si>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>2.1 - Operações de Crédito</t>
  </si>
  <si>
    <t>Receita Total</t>
  </si>
  <si>
    <t>Despesa Total</t>
  </si>
  <si>
    <t>Reservas</t>
  </si>
  <si>
    <t>RECEITAS DE CAPITAL</t>
  </si>
  <si>
    <t>TOTAL DA RECEITA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</si>
  <si>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</si>
  <si>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</si>
  <si>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</si>
  <si>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</si>
  <si>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</si>
  <si>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</si>
  <si>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</si>
  <si>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</si>
  <si>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</si>
  <si>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</si>
  <si>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</si>
  <si>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</si>
  <si>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</si>
  <si>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</si>
  <si>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</si>
  <si>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</si>
  <si>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</si>
  <si>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</si>
  <si>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</si>
  <si>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</si>
  <si>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</si>
  <si>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</si>
  <si>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</si>
  <si>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</si>
  <si>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</si>
  <si>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</si>
  <si>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</si>
  <si>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</si>
  <si>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</si>
  <si>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</si>
  <si>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</si>
  <si>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</si>
  <si>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</si>
  <si>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</si>
  <si>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</si>
  <si>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</si>
  <si>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</si>
  <si>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</si>
  <si>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</si>
  <si>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</si>
  <si>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</si>
  <si>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</si>
  <si>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</si>
  <si>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</si>
  <si>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</si>
  <si>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</si>
  <si>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</si>
  <si>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</si>
  <si>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</si>
  <si>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</si>
  <si>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</si>
  <si>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</si>
  <si>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</si>
  <si>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</si>
  <si>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</si>
  <si>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</si>
  <si>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</si>
  <si>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</si>
  <si>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</si>
  <si>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</si>
  <si>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</si>
  <si>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</si>
  <si>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</si>
  <si>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</si>
  <si>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</si>
  <si>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</si>
  <si>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</si>
  <si>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</si>
  <si>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</si>
  <si>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</si>
  <si>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</si>
  <si>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</si>
  <si>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</si>
  <si>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</si>
  <si>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</si>
  <si>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PROVIDÊNCIAS</t>
  </si>
  <si>
    <t>Descrição</t>
  </si>
  <si>
    <t>I-Metas Previstas em</t>
  </si>
  <si>
    <t>II-Metas Realizadas em</t>
  </si>
  <si>
    <t>Valor (c) = (b-a)</t>
  </si>
  <si>
    <t>Variação %</t>
  </si>
  <si>
    <t>Variação%</t>
  </si>
  <si>
    <t xml:space="preserve">  Receitas Primárias (I)</t>
  </si>
  <si>
    <t>Despesas Primárias (II)</t>
  </si>
  <si>
    <t>Fonte:</t>
  </si>
  <si>
    <t>Receita Primárias (I)</t>
  </si>
  <si>
    <t>Despesa Primárias (II)</t>
  </si>
  <si>
    <t>Receitas Primárias (I)</t>
  </si>
  <si>
    <t>Saldo</t>
  </si>
  <si>
    <t>Reestimativa</t>
  </si>
  <si>
    <t>REESTIMADO</t>
  </si>
  <si>
    <t>JUROS E ENCARGOS DA DÍVIDA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</si>
  <si>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</si>
  <si>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</si>
  <si>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</si>
  <si>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</si>
  <si>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</si>
  <si>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</si>
  <si>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</si>
  <si>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</si>
  <si>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</si>
  <si>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</si>
  <si>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da Prefeitura Municipal</t>
  </si>
  <si>
    <t>Rendimento de Aplicações Financeira de Alienaç de Bens</t>
  </si>
  <si>
    <t xml:space="preserve">CRESCIMENTO DOS INVESTIMENTOS </t>
  </si>
  <si>
    <t>cando-se, sobre eles, as projeções de inflação para os referidos exercícios a saber:</t>
  </si>
  <si>
    <t>Exercício</t>
  </si>
  <si>
    <t>(-)  Transferências ao FUNDEB</t>
  </si>
  <si>
    <t>PIB / RS (em R$ milhões)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</si>
  <si>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</si>
  <si>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</si>
  <si>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</si>
  <si>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</si>
  <si>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</si>
  <si>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</si>
  <si>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>DEMONSTRATIVO DAS METAS DE RESULTADO PRIMÁRIO (EXCLUÍDAS A RECEITAS E DESPESAS DO RPPS)</t>
  </si>
  <si>
    <t xml:space="preserve">  Receita Total </t>
  </si>
  <si>
    <t xml:space="preserve"> Despesa Total </t>
  </si>
  <si>
    <t>Despesas Primárias  (II)</t>
  </si>
  <si>
    <t xml:space="preserve">Operações de Crédito / Pagamentos </t>
  </si>
  <si>
    <t>ANEXO DE  METAS FISCAIS</t>
  </si>
  <si>
    <t>(2)  Disponibilidades Financeiras (Líquidas)</t>
  </si>
  <si>
    <t>(3) Dívida Consolidada Líquida</t>
  </si>
  <si>
    <t>(4) Passivos Reconhecidos</t>
  </si>
  <si>
    <t>(5) Dívida Fiscal Líquida</t>
  </si>
  <si>
    <t>(6) Resultado Nominal</t>
  </si>
  <si>
    <t>TRIBUTO</t>
  </si>
  <si>
    <t>MODALIDADE</t>
  </si>
  <si>
    <t>SETORES/ PROGRAMAS/ BENEFICIÁRIO</t>
  </si>
  <si>
    <t xml:space="preserve">          -</t>
  </si>
  <si>
    <t>abaixo</t>
  </si>
  <si>
    <t>DESPESAS  EXECUTADAS</t>
  </si>
  <si>
    <t>Cronograma Anual de Operações Realizadas e do Serviço da Dívida</t>
  </si>
  <si>
    <t>ANEXO DE RISCOS FISCAIS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</si>
  <si>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</si>
  <si>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</si>
  <si>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</si>
  <si>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</si>
  <si>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</si>
  <si>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</si>
  <si>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</si>
  <si>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</si>
  <si>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</si>
  <si>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</si>
  <si>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</si>
  <si>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</si>
  <si>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</si>
  <si>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RESULTADO PREVIDENCIÁRIO (VII) = (III – VI)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</si>
  <si>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</si>
  <si>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</si>
  <si>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</si>
  <si>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</si>
  <si>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</si>
  <si>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</si>
  <si>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</si>
  <si>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</si>
  <si>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</si>
  <si>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 III -  METAS E PRIORIDADES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</si>
  <si>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</si>
  <si>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</si>
  <si>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</si>
  <si>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</si>
  <si>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</si>
  <si>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family val="0"/>
      </rPr>
      <t>è</t>
    </r>
  </si>
  <si>
    <t xml:space="preserve">(*)  Tipo:  P – Projeto       A - Atividade </t>
  </si>
  <si>
    <t xml:space="preserve">OE – Operação Especial      NO – Não-orçamentária            </t>
  </si>
  <si>
    <t xml:space="preserve">MUNICÍPIO DE: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</si>
  <si>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</si>
  <si>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</si>
  <si>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</si>
  <si>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</si>
  <si>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</si>
  <si>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</si>
  <si>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</si>
  <si>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</si>
  <si>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</si>
  <si>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</si>
  <si>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Pessoal  do  R P P S </t>
  </si>
  <si>
    <t xml:space="preserve">Juros e encargos da Dívida RPPS </t>
  </si>
  <si>
    <t xml:space="preserve">Invetimentos  RPPS </t>
  </si>
  <si>
    <t>CONSERVAÇÃO DO PATRIMÔNIO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</si>
  <si>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</si>
  <si>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</si>
  <si>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</si>
  <si>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</si>
  <si>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t> FONTE: Sistema &lt;Nome&gt;, Unidade Responsável &lt;Nome&gt;, Data da emissão &lt;dd/mmm/aaaa&gt; e hora de emissão &lt;hhh e mmm&gt;</t>
  </si>
  <si>
    <t>Fonte:  Sistema &lt;Nome&gt;, Unidade Responsável &lt;Nome&gt;, Data da emissão &lt;dd/mmm/aaaa&gt; e hora de emissão &lt;hhh e mmm&gt;</t>
  </si>
  <si>
    <t>Taxa de Juros Selic (Média do Ano)</t>
  </si>
  <si>
    <t>EXERCÍCIO DE 2017</t>
  </si>
  <si>
    <t>Inflação para 2019:</t>
  </si>
  <si>
    <t>ARRECADADA</t>
  </si>
  <si>
    <t>REALIZADA</t>
  </si>
  <si>
    <t>LEI DE DIRETRIZES ORÇAMENTÁRIAS  PARA 2018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</si>
  <si>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</si>
  <si>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</si>
  <si>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</si>
  <si>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</si>
  <si>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</si>
  <si>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</si>
  <si>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</si>
  <si>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</si>
  <si>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</si>
  <si>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</si>
  <si>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</si>
  <si>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</si>
  <si>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</si>
  <si>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</si>
  <si>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</si>
  <si>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</si>
  <si>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</si>
  <si>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</si>
  <si>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</si>
  <si>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</si>
  <si>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</si>
  <si>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</si>
  <si>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</si>
  <si>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</si>
  <si>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</si>
  <si>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</si>
  <si>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</si>
  <si>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Exploração do Patrimônio Imobiliário do Estado</t>
  </si>
  <si>
    <t>1.3.2.0.00.0.0.00.00.00</t>
  </si>
  <si>
    <t>Valores Mobiliários</t>
  </si>
  <si>
    <t>1.3.2.1.00.1.1.01.00.00</t>
  </si>
  <si>
    <t>Remuneração de Depósitos de Recursos Vinculados - Principal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</si>
  <si>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</si>
  <si>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</si>
  <si>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</si>
  <si>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</si>
  <si>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</si>
  <si>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</si>
  <si>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</si>
  <si>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</si>
  <si>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</si>
  <si>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</si>
  <si>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</si>
  <si>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</si>
  <si>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</si>
  <si>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</si>
  <si>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</si>
  <si>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</si>
  <si>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1.6.0.0.00.0.0.00.00.00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</si>
  <si>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</si>
  <si>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</si>
  <si>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</si>
  <si>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</si>
  <si>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</si>
  <si>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</si>
  <si>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</si>
  <si>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</si>
  <si>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</si>
  <si>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</si>
  <si>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</si>
  <si>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</si>
  <si>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</si>
  <si>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</si>
  <si>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</si>
  <si>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</si>
  <si>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</si>
  <si>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1.7.1.8.04.0.0.00.00.00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</si>
  <si>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</si>
  <si>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</si>
  <si>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</si>
  <si>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</si>
  <si>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</si>
  <si>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</si>
  <si>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</si>
  <si>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</si>
  <si>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</si>
  <si>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</si>
  <si>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</si>
  <si>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</si>
  <si>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</si>
  <si>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</si>
  <si>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</si>
  <si>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</si>
  <si>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</si>
  <si>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</si>
  <si>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</si>
  <si>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</si>
  <si>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</si>
  <si>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</si>
  <si>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</si>
  <si>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</si>
  <si>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</si>
  <si>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</si>
  <si>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</si>
  <si>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</si>
  <si>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</si>
  <si>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</si>
  <si>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</si>
  <si>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</si>
  <si>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</si>
  <si>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</si>
  <si>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</si>
  <si>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</si>
  <si>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</si>
  <si>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</si>
  <si>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</si>
  <si>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</si>
  <si>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</si>
  <si>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</si>
  <si>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</si>
  <si>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</si>
  <si>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</si>
  <si>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</si>
  <si>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</si>
  <si>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</si>
  <si>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</si>
  <si>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</si>
  <si>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</si>
  <si>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</si>
  <si>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Outras Receitas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</si>
  <si>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</si>
  <si>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</si>
  <si>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</si>
  <si>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</si>
  <si>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</si>
  <si>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</si>
  <si>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</si>
  <si>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</si>
  <si>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</si>
  <si>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</si>
  <si>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</si>
  <si>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</si>
  <si>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</si>
  <si>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</si>
  <si>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</si>
  <si>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</si>
  <si>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</si>
  <si>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</si>
  <si>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</si>
  <si>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</si>
  <si>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</si>
  <si>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</si>
  <si>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</si>
  <si>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</si>
  <si>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</si>
  <si>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</si>
  <si>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</si>
  <si>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</si>
  <si>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</si>
  <si>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</si>
  <si>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( R ) Deduções da Receita</t>
  </si>
  <si>
    <t>9.0.0.0.0.00.0.0.00.00</t>
  </si>
  <si>
    <t>9.1.1.0.0.00.0.0.00.00</t>
  </si>
  <si>
    <t>Deduções da Receita de Impostos</t>
  </si>
  <si>
    <t>9.1.7.0.0.00.0.0.00.00</t>
  </si>
  <si>
    <t>Deduções para o FUNDEB</t>
  </si>
  <si>
    <t>9.1.0.0.0.00.0.0.00.00</t>
  </si>
  <si>
    <t>Demais Deduções da Receita Corrente</t>
  </si>
  <si>
    <t>9.2.0.0.0.00.0.0.00.00</t>
  </si>
  <si>
    <t>Demais Deduções da Receita de Capital</t>
  </si>
  <si>
    <t>Pessoal  - Executivo / Indiretes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</si>
  <si>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</si>
  <si>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</si>
  <si>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</si>
  <si>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</si>
  <si>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</si>
  <si>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</si>
  <si>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</si>
  <si>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</si>
  <si>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</si>
  <si>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</si>
  <si>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</si>
  <si>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</si>
  <si>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</si>
  <si>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</si>
  <si>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</si>
  <si>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</si>
  <si>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</si>
  <si>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</si>
  <si>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</si>
  <si>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Receitas Correntes Intraorçamentárias - RPPS</t>
  </si>
  <si>
    <t>Valor Corrente (a)</t>
  </si>
  <si>
    <t>% RCL</t>
  </si>
  <si>
    <t>(a /RCL)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</si>
  <si>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</si>
  <si>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</si>
  <si>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</si>
  <si>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</si>
  <si>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</si>
  <si>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</si>
  <si>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Estimativas para a Receita Corrente Líquida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</si>
  <si>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</si>
  <si>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</si>
  <si>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</si>
  <si>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</si>
  <si>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</si>
  <si>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</si>
  <si>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</si>
  <si>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</si>
  <si>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</si>
  <si>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Apuração Conforme a Instrução Normativa nº 19/2016, do TCE/RS</t>
  </si>
  <si>
    <t>Rendimentos de Aplicações de Rec.Previdenciários</t>
  </si>
  <si>
    <t>EXERCÍCIO DE 2018</t>
  </si>
  <si>
    <t>(B /RCL)</t>
  </si>
  <si>
    <t>(b /RCL)</t>
  </si>
  <si>
    <t>2016 (a)</t>
  </si>
  <si>
    <t xml:space="preserve"> EXERCÍCIO DE 2018</t>
  </si>
  <si>
    <t xml:space="preserve">EXERCÍCIO DE 2018 </t>
  </si>
  <si>
    <t>Inflação para 2020:</t>
  </si>
  <si>
    <t>Valor Previsto 2018</t>
  </si>
  <si>
    <t>SALDOS DE EXERCÍCIOS ANTERIORES A 2014</t>
  </si>
  <si>
    <t>AMF - Demonstrativo 6 (LRF, art. 4º, § 2º, inciso IV, alínea "a")</t>
  </si>
  <si>
    <t>RECEITAS E DESPESAS PREVIDENCIÁRIOS DO REGIME PRÓPRIO DE PREVIDÊNCIA DOS SERVIDORES</t>
  </si>
  <si>
    <t>PLANO PREVIDENCIÁRIO</t>
  </si>
  <si>
    <t>RECEITAS PREVIDENCIÁRIAS - RPPS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</si>
  <si>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</si>
  <si>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</si>
  <si>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</si>
  <si>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</si>
  <si>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</si>
  <si>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</si>
  <si>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</si>
  <si>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</si>
  <si>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Em Regime de Parcelamento de Débitos</t>
  </si>
  <si>
    <t>Receitas Imobiliárias</t>
  </si>
  <si>
    <t>Receitas de Valores Mobiliários</t>
  </si>
  <si>
    <t>Outras Receitas Patrimoniais</t>
  </si>
  <si>
    <t>Receita de Aporte Periódico de Valores Predefinidos</t>
  </si>
  <si>
    <t>Compensação Previdenciária do RGPS para o RPPS</t>
  </si>
  <si>
    <t>RECEITAS DE CAPITAL (II)</t>
  </si>
  <si>
    <t>Alienação de Bens, Direitos e Ativos</t>
  </si>
  <si>
    <t>TOTAL DAS RECEITAS PREVIDENCIÁRIAS RPPS - (III) = (I + II)</t>
  </si>
  <si>
    <t>DESPESAS PREVIDENCIÁRIAS - RPPS</t>
  </si>
  <si>
    <t>ADMINISTRAÇÃO (IV)</t>
  </si>
  <si>
    <t>Despesas Correntes</t>
  </si>
  <si>
    <t>Despesas de Capital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</si>
  <si>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</si>
  <si>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</si>
  <si>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</si>
  <si>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</si>
  <si>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</si>
  <si>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</si>
  <si>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</si>
  <si>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</si>
  <si>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</si>
  <si>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</si>
  <si>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</si>
  <si>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RECURSOS RPPS ARRECADADOS EM EXERCÍCIOS ANTERIORES</t>
  </si>
  <si>
    <t>VALOR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</si>
  <si>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</si>
  <si>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</si>
  <si>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</si>
  <si>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</si>
  <si>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</si>
  <si>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</si>
  <si>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</si>
  <si>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 Bens e Direitos</t>
  </si>
  <si>
    <t>PLANO FINANCEIRO</t>
  </si>
  <si>
    <t>RECEITAS CORRENTES (VIII)</t>
  </si>
  <si>
    <t>Receita de Contribuições dos Segurados</t>
  </si>
  <si>
    <t>Receita de Contribuições Patronais</t>
  </si>
  <si>
    <t>RECEITAS DE CAPITAL (IX)</t>
  </si>
  <si>
    <t>TOTAL DAS RECEITAS PREVIDENCIÁRIAS RPPS - (X) = (VIII + IX)</t>
  </si>
  <si>
    <t>ADMINISTRAÇÃO (XI)</t>
  </si>
  <si>
    <t>PREVIDÊNCIA (XII)</t>
  </si>
  <si>
    <t xml:space="preserve">Aposentadorias </t>
  </si>
  <si>
    <t>TOTAL DAS DESPESAS PREVIDENCIÁRIAS RPPS (XIII) = (XI + XII)</t>
  </si>
  <si>
    <t>RESULTADO PREVIDENCIÁRIO (XIV) = (X – XIII)</t>
  </si>
  <si>
    <t>APORTES DE RECURSOS PARA O PLANO FINANCEIRO DO RRPS</t>
  </si>
  <si>
    <t>Recursos para Cobertura de Insuficiências Financeiras</t>
  </si>
  <si>
    <t>Recursos para Formação de Reserva</t>
  </si>
  <si>
    <t>PROJEÇÃO ATUARIAL DO REGIME PRÓPRIO DE PREVIDÊNCIA DOS SERVIDORES</t>
  </si>
  <si>
    <t>FONTE: Sistema &lt;sistema&gt;, Unidade Responsável: &lt;Unidade Responsável&gt;. Emissão: &lt;dd/mm/aaaa&gt;, às &lt;hh:mm:ss&gt;. Assinado Digitalmente no dia &lt;dd/mm/aaaa&gt;, às &lt;hh:mm:ss&gt;.</t>
  </si>
  <si>
    <r>
      <t>Em Regime de Parcelamento de Débitos</t>
    </r>
    <r>
      <rPr>
        <sz val="8"/>
        <rFont val="Arial"/>
        <family val="2"/>
      </rPr>
      <t xml:space="preserve"> </t>
    </r>
  </si>
  <si>
    <r>
      <t xml:space="preserve">Receitas
Previdenciárias </t>
    </r>
    <r>
      <rPr>
        <b/>
        <sz val="8"/>
        <rFont val="Arial"/>
        <family val="2"/>
      </rPr>
      <t>(a)</t>
    </r>
  </si>
  <si>
    <r>
      <t xml:space="preserve">Despesas
Previdenciárias
</t>
    </r>
    <r>
      <rPr>
        <b/>
        <sz val="8"/>
        <rFont val="Arial"/>
        <family val="2"/>
      </rPr>
      <t>(b)</t>
    </r>
  </si>
  <si>
    <r>
      <t xml:space="preserve">Resultado
Previdenciário
</t>
    </r>
    <r>
      <rPr>
        <b/>
        <sz val="8"/>
        <rFont val="Arial"/>
        <family val="2"/>
      </rPr>
      <t>(c) = (a-b)</t>
    </r>
  </si>
  <si>
    <r>
      <t xml:space="preserve">Saldo Financeiro 
do Exercício
</t>
    </r>
    <r>
      <rPr>
        <b/>
        <sz val="8"/>
        <rFont val="Arial"/>
        <family val="2"/>
      </rPr>
      <t>(d) = (d Exercício Anterior) + (c)</t>
    </r>
  </si>
  <si>
    <t>AVALIAÇÃO DA SITUAÇÃO FINANCEIRA E ATUARIAL DO RPPS</t>
  </si>
  <si>
    <t>LEI DE DIRETRIZES ORÇAMENTÁRIAS - 2018</t>
  </si>
  <si>
    <t>RECURSOS PRIORIZADOS PARA 2018</t>
  </si>
  <si>
    <t>ATÉ EXERC ANTERIOR - 2016</t>
  </si>
  <si>
    <t>NO EXERCÍCIO DE 2017</t>
  </si>
  <si>
    <t>A EXECUTAR EM 2018</t>
  </si>
  <si>
    <t>Lei de Diretrizes Orçamentárias para o Exercício de 2018</t>
  </si>
  <si>
    <t>Estimativa de Limites de Gastos com Pessoal do Poder Executivo e Legislativo para o período de 2018 a 2021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</si>
  <si>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</si>
  <si>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</si>
  <si>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</si>
  <si>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</si>
  <si>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</si>
  <si>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</si>
  <si>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</si>
  <si>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</si>
  <si>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2016 (b)</t>
  </si>
  <si>
    <t>Obs:  1 -   Os valores da renúncia para 2018 foram previstos de acordo com informações do setor tributário</t>
  </si>
  <si>
    <t xml:space="preserve"> (1) Dívida Consolidada - Exceto RPPS</t>
  </si>
  <si>
    <t>2.2 Encargos - Exceto RPPS</t>
  </si>
  <si>
    <t>2.3 Amortizações - Exceto RPPS</t>
  </si>
  <si>
    <t>Inidicador</t>
  </si>
  <si>
    <t>Memória de Cálculo das Estimativas das Despesas</t>
  </si>
  <si>
    <t>2 - Os valores da renúncia projetados para 2019 e 2020, foram claculados a partir dos valores de 2018, apli</t>
  </si>
  <si>
    <t>ANEXO DE METAS FISCAIS</t>
  </si>
  <si>
    <t>METAS ANUAIS - RPPS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</si>
  <si>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</si>
  <si>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</si>
  <si>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</si>
  <si>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</si>
  <si>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t>AMF - Demonstrativo 5 (LRF, art.4º, §2º, inciso III)</t>
  </si>
  <si>
    <t>AMF - Demonstrativo 4 (LRF, art.4º, §2º, inciso III)</t>
  </si>
  <si>
    <t>AMF – Demonstrativo 3 (LRF, art.4º, §2º, inciso II)</t>
  </si>
  <si>
    <r>
      <t>ARF (LRF, art 4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, § 3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)</t>
    </r>
  </si>
  <si>
    <t>AMF - Demonstrativo 2 (LRF, art. 4º, §2º, inciso I)</t>
  </si>
  <si>
    <t>AMF - Demonstativo 1 (LRF, art. 4º, § 1º)</t>
  </si>
  <si>
    <t>AMF - Demonstrativo 1 (LRF, art. 4º, § 1º)</t>
  </si>
  <si>
    <r>
      <t xml:space="preserve">Fonte: </t>
    </r>
    <r>
      <rPr>
        <sz val="10"/>
        <rFont val="Arial"/>
        <family val="2"/>
      </rPr>
      <t>Sistema &lt;Nome&gt;, Unidade Responsável &lt;Nome&gt;, Data da emissão &lt;dd/mmm/aaaa&gt; e hora de emissão &lt;hhh e mmm&gt;</t>
    </r>
  </si>
  <si>
    <t xml:space="preserve">Valor Constante </t>
  </si>
  <si>
    <t>Valor Corrente (b)</t>
  </si>
  <si>
    <t>Valor Constante</t>
  </si>
  <si>
    <t>Valor Corrente (c)</t>
  </si>
  <si>
    <t>1.7.1.8.99.1.1.00.00.00</t>
  </si>
  <si>
    <t>Outras Transferências da União</t>
  </si>
  <si>
    <t xml:space="preserve">Transferências de convênios   </t>
  </si>
  <si>
    <t>substituir pelo correto</t>
  </si>
  <si>
    <t>Município de Balneário Pinhal</t>
  </si>
  <si>
    <t>ANEXO I      TABELA  01 - Parâmentos Utilizados nas Estimativas das Receitas e Despesas</t>
  </si>
  <si>
    <t>MUNICÍPIO DE BALNEÁRIO PINHAL</t>
  </si>
  <si>
    <t xml:space="preserve">                                                       ANEXO I        TABELA 02 - Demonstrativo da Evolução da Dívida Consolidada Líquida e Resultado Nominal - Exceto RPPS</t>
  </si>
  <si>
    <t xml:space="preserve">                                                                                                                    LEI DE DIRETRIZES ORÇAMENTÁRIAS PARA 2018</t>
  </si>
  <si>
    <t xml:space="preserve">                                                                                          MUNICÍPIO DE BALNEÁRIO PINHAL</t>
  </si>
  <si>
    <t>ANEXO I         Memória de Cálculo das Estimativas das Receitas</t>
  </si>
  <si>
    <t>ANEXO I            METAS ANUAIS - CONSOLIDADO</t>
  </si>
  <si>
    <t xml:space="preserve">               ANEXO I          AVALIAÇÃO DO CUMPRIMENTO DAS METAS FISCAIS   DO EXERCÍCIO ANTERIOR                            </t>
  </si>
  <si>
    <t>MUNICIPIO DE BALENÁRIO PINHAL</t>
  </si>
  <si>
    <t>ANEXO I          DEMONSTRATIVO DE METAS FISCAIS ATUAIS COMPARADAS COM AS FIXADAS  NOS TRÊS EXERCÍCIOS ANTERIORES</t>
  </si>
  <si>
    <t>MUNICIPIO DE BALNEÁRIO PINHAL</t>
  </si>
  <si>
    <t>ANEXO I            EVOLUÇÃO DO PATRIMÔNIO LÍQUIDO</t>
  </si>
  <si>
    <t>ANEXO I      ORIGEM E APLICAÇÃO DOS RECURSOS OBTIDOS COM A ALIENAÇÃO DE ATIVOS</t>
  </si>
  <si>
    <t xml:space="preserve">ANEXO I MARGEM DE EXPANSÃO DAS DESPESAS OBRIGATÓRIAS DE CARÁTER CONTINUADO  </t>
  </si>
  <si>
    <t>Abertura de Créditos adicionais a partir de reserva de contingência</t>
  </si>
  <si>
    <t>limitação de empenhos conforme LDO</t>
  </si>
  <si>
    <t>ANEXO II         DEMONSTRATIVO DE RISCOS FISCAIS E PROVIDÊNCIAS</t>
  </si>
  <si>
    <t>A</t>
  </si>
  <si>
    <t xml:space="preserve">unidade  </t>
  </si>
  <si>
    <t xml:space="preserve">Aquisição de Veículo </t>
  </si>
  <si>
    <t xml:space="preserve">unidade </t>
  </si>
  <si>
    <r>
      <t>PROGRAMA:</t>
    </r>
    <r>
      <rPr>
        <sz val="9"/>
        <rFont val="Arial"/>
        <family val="2"/>
      </rPr>
      <t xml:space="preserve"> 0101 - CIDADE LIMPA</t>
    </r>
  </si>
  <si>
    <t xml:space="preserve">Implantação da Coleta Seletiva </t>
  </si>
  <si>
    <t>Atividade</t>
  </si>
  <si>
    <t xml:space="preserve"> Aquisição de Máquinas e Equipamentos </t>
  </si>
  <si>
    <t>P</t>
  </si>
  <si>
    <t xml:space="preserve">Tratamento de Esgoto </t>
  </si>
  <si>
    <t xml:space="preserve">Atividade </t>
  </si>
  <si>
    <r>
      <t xml:space="preserve">OBJETIVO: </t>
    </r>
    <r>
      <rPr>
        <sz val="9"/>
        <rFont val="Arial"/>
        <family val="2"/>
      </rPr>
      <t xml:space="preserve"> 0001</t>
    </r>
    <r>
      <rPr>
        <b/>
        <sz val="9"/>
        <rFont val="Arial"/>
        <family val="2"/>
      </rPr>
      <t xml:space="preserve"> -   </t>
    </r>
    <r>
      <rPr>
        <sz val="9"/>
        <rFont val="Arial"/>
        <family val="2"/>
      </rPr>
      <t>Manter a coleta, transporte e destinação final dos resíduos sólidos urbanos</t>
    </r>
    <r>
      <rPr>
        <b/>
        <sz val="9"/>
        <rFont val="Arial"/>
        <family val="2"/>
      </rPr>
      <t xml:space="preserve"> </t>
    </r>
  </si>
  <si>
    <r>
      <t xml:space="preserve">OBJETIVO: </t>
    </r>
    <r>
      <rPr>
        <sz val="9"/>
        <rFont val="Arial"/>
        <family val="2"/>
      </rPr>
      <t xml:space="preserve"> 0002</t>
    </r>
    <r>
      <rPr>
        <b/>
        <sz val="9"/>
        <rFont val="Arial"/>
        <family val="2"/>
      </rPr>
      <t xml:space="preserve"> -   </t>
    </r>
    <r>
      <rPr>
        <sz val="9"/>
        <rFont val="Arial"/>
        <family val="2"/>
      </rPr>
      <t>Promover o tratamento do esgoto residencial para fins de promover a despoluição do meio ambiente</t>
    </r>
  </si>
  <si>
    <r>
      <t xml:space="preserve">OBJETIVO: </t>
    </r>
    <r>
      <rPr>
        <sz val="9"/>
        <rFont val="Arial"/>
        <family val="2"/>
      </rPr>
      <t xml:space="preserve"> 0003</t>
    </r>
    <r>
      <rPr>
        <b/>
        <sz val="9"/>
        <rFont val="Arial"/>
        <family val="2"/>
      </rPr>
      <t xml:space="preserve"> -   </t>
    </r>
    <r>
      <rPr>
        <sz val="9"/>
        <rFont val="Arial"/>
        <family val="2"/>
      </rPr>
      <t>Melhorar a qualidade de espaços de lazer para a comunidade de forma que haja integração com a natureza</t>
    </r>
  </si>
  <si>
    <t xml:space="preserve">Aquisição de Mudas e Inusmos </t>
  </si>
  <si>
    <r>
      <t>PROGRAMA:</t>
    </r>
    <r>
      <rPr>
        <sz val="9"/>
        <rFont val="Arial"/>
        <family val="2"/>
      </rPr>
      <t xml:space="preserve"> 0102 - EDUCAÇÃO COM QUALIDADE PARA TODOS </t>
    </r>
  </si>
  <si>
    <t xml:space="preserve">Atividade Mantida </t>
  </si>
  <si>
    <t>Equipamento adquirido</t>
  </si>
  <si>
    <t xml:space="preserve">Aquisição de Veículos </t>
  </si>
  <si>
    <t xml:space="preserve">Equipamento adquirido </t>
  </si>
  <si>
    <t xml:space="preserve">Andamento na Conclusão do Prédio da SMEC </t>
  </si>
  <si>
    <t>30%</t>
  </si>
  <si>
    <t>Serviço</t>
  </si>
  <si>
    <t>10.000</t>
  </si>
  <si>
    <t xml:space="preserve">Construção </t>
  </si>
  <si>
    <t xml:space="preserve">Aquisição de mobiliário </t>
  </si>
  <si>
    <t>Unidade</t>
  </si>
  <si>
    <t xml:space="preserve">Manutenção do Transporte Escolar </t>
  </si>
  <si>
    <t xml:space="preserve">Terceirzação do Transporte </t>
  </si>
  <si>
    <t>-</t>
  </si>
  <si>
    <t>Construção de Salas</t>
  </si>
  <si>
    <t xml:space="preserve">Mobiliário Adquirido </t>
  </si>
  <si>
    <t>Distribuição de mudas e insumos</t>
  </si>
  <si>
    <t xml:space="preserve">Obras e Manutenção </t>
  </si>
  <si>
    <r>
      <t>PROGRAMA:</t>
    </r>
    <r>
      <rPr>
        <sz val="9"/>
        <rFont val="Arial"/>
        <family val="2"/>
      </rPr>
      <t xml:space="preserve"> 0103 - DESENVOLVIMENTO CULTURAL</t>
    </r>
  </si>
  <si>
    <t xml:space="preserve">Criação do Fundo de Cultura </t>
  </si>
  <si>
    <t xml:space="preserve">Atividade mantida </t>
  </si>
  <si>
    <t>Sarau Cultural</t>
  </si>
  <si>
    <t>1</t>
  </si>
  <si>
    <t xml:space="preserve">Feira do Livro </t>
  </si>
  <si>
    <t>Evento Realizado</t>
  </si>
  <si>
    <t xml:space="preserve">um </t>
  </si>
  <si>
    <t xml:space="preserve">Festa Junina Municipal </t>
  </si>
  <si>
    <t xml:space="preserve">Evento realizado </t>
  </si>
  <si>
    <r>
      <t>PROGRAMA:</t>
    </r>
    <r>
      <rPr>
        <sz val="9"/>
        <rFont val="Arial"/>
        <family val="2"/>
      </rPr>
      <t xml:space="preserve"> 0104 - EDUCAÇÃO ESPECIAL</t>
    </r>
  </si>
  <si>
    <r>
      <t xml:space="preserve">OBJETIVO: </t>
    </r>
    <r>
      <rPr>
        <sz val="9"/>
        <rFont val="Arial"/>
        <family val="2"/>
      </rPr>
      <t xml:space="preserve"> 0004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Promover a manutenção e ampliação do atendimento escolar de qualidade em todas as etapas e modalida</t>
    </r>
  </si>
  <si>
    <t xml:space="preserve">des da educação básica </t>
  </si>
  <si>
    <r>
      <t xml:space="preserve">OBJETIVO: </t>
    </r>
    <r>
      <rPr>
        <sz val="9"/>
        <rFont val="Arial"/>
        <family val="2"/>
      </rPr>
      <t xml:space="preserve"> 0005</t>
    </r>
    <r>
      <rPr>
        <b/>
        <sz val="9"/>
        <rFont val="Arial"/>
        <family val="2"/>
      </rPr>
      <t xml:space="preserve"> -   </t>
    </r>
    <r>
      <rPr>
        <sz val="9"/>
        <rFont val="Arial"/>
        <family val="2"/>
      </rPr>
      <t>Fomentar o desenvolvimento de eventos culturais e atividades culturais publica e privadas</t>
    </r>
  </si>
  <si>
    <r>
      <t xml:space="preserve">OBJETIVO: </t>
    </r>
    <r>
      <rPr>
        <sz val="9"/>
        <rFont val="Arial"/>
        <family val="2"/>
      </rPr>
      <t xml:space="preserve"> 0006</t>
    </r>
    <r>
      <rPr>
        <b/>
        <sz val="9"/>
        <rFont val="Arial"/>
        <family val="2"/>
      </rPr>
      <t xml:space="preserve"> -   </t>
    </r>
    <r>
      <rPr>
        <sz val="9"/>
        <rFont val="Arial"/>
        <family val="2"/>
      </rPr>
      <t>Ampliar atendimento aos alunos com deficiência.</t>
    </r>
  </si>
  <si>
    <t xml:space="preserve">Contrtatação de Monitores para Atendimento a alunos com deficiência </t>
  </si>
  <si>
    <t xml:space="preserve">P </t>
  </si>
  <si>
    <t xml:space="preserve">Construção Quadra Esportiva Sindipolo </t>
  </si>
  <si>
    <r>
      <t>PROGRAMA:</t>
    </r>
    <r>
      <rPr>
        <sz val="9"/>
        <rFont val="Arial"/>
        <family val="2"/>
      </rPr>
      <t xml:space="preserve"> 0106 - PROTEÇÃO BÁSICA </t>
    </r>
  </si>
  <si>
    <t xml:space="preserve"> famílias e indivíduos em situação de vulnerabilidade e risco social e pessoal</t>
  </si>
  <si>
    <r>
      <t xml:space="preserve">OBJETIVO: </t>
    </r>
    <r>
      <rPr>
        <sz val="9"/>
        <rFont val="Arial"/>
        <family val="2"/>
      </rPr>
      <t xml:space="preserve"> 0008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>Manter, ampliar e qualificar os serviços e programas de Proteção Social Básica e Especial ofertados às</t>
    </r>
  </si>
  <si>
    <t>Veículo adquirido</t>
  </si>
  <si>
    <t>Contrução do CRAS Magistério</t>
  </si>
  <si>
    <t>25%</t>
  </si>
  <si>
    <t>Atividade Mantida</t>
  </si>
  <si>
    <t>Construção do Espaço para atendimento as crianças na SEDE</t>
  </si>
  <si>
    <t>Construção do centro do idoso no Magistério</t>
  </si>
  <si>
    <r>
      <t>PROGRAMA:</t>
    </r>
    <r>
      <rPr>
        <sz val="9"/>
        <rFont val="Arial"/>
        <family val="2"/>
      </rPr>
      <t xml:space="preserve"> 0107 - ATENDIMENTO A MULHER</t>
    </r>
  </si>
  <si>
    <r>
      <t xml:space="preserve">OBJETIVO: </t>
    </r>
    <r>
      <rPr>
        <sz val="9"/>
        <rFont val="Arial"/>
        <family val="2"/>
      </rPr>
      <t xml:space="preserve"> 0009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 xml:space="preserve">Atender e acompanhar o acolhimento de mulheres em situação de violência ou violação  de direitos,
</t>
    </r>
  </si>
  <si>
    <t>visando adequar sua regulação e funcionamento no ãmbito do SUAS</t>
  </si>
  <si>
    <t xml:space="preserve">P  </t>
  </si>
  <si>
    <t xml:space="preserve">Construção do Espaço da Mulher </t>
  </si>
  <si>
    <t>100%</t>
  </si>
  <si>
    <r>
      <t>PROGRAMA:</t>
    </r>
    <r>
      <rPr>
        <sz val="9"/>
        <rFont val="Arial"/>
        <family val="2"/>
      </rPr>
      <t xml:space="preserve"> 0108 - REVITALIZA PINHAL</t>
    </r>
  </si>
  <si>
    <r>
      <t xml:space="preserve">OBJETIVO: </t>
    </r>
    <r>
      <rPr>
        <sz val="9"/>
        <rFont val="Arial"/>
        <family val="2"/>
      </rPr>
      <t xml:space="preserve"> 0010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 xml:space="preserve">Implantar, recuperar, revitalizar e modernizar as áreas de lazer e turismo das lagoas e do mar, objetivando a criação de infraestrutura básicas para promover a qualidade de vida da comunidade e dos visitantes
</t>
    </r>
  </si>
  <si>
    <t xml:space="preserve">Revitalizar a Orla da Rondinha </t>
  </si>
  <si>
    <t>Revitalizar a Pista de Caminhada da Av. Itália</t>
  </si>
  <si>
    <t>33%</t>
  </si>
  <si>
    <t>Construção da Rua Coberta</t>
  </si>
  <si>
    <r>
      <t xml:space="preserve">OBJETIVO: </t>
    </r>
    <r>
      <rPr>
        <sz val="9"/>
        <rFont val="Arial"/>
        <family val="2"/>
      </rPr>
      <t xml:space="preserve"> 0011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>Recuperar, revitalizar e construir calçadas de passeio, ruas e avenidas, trazendo melhorias nas rotinas dos munícipes e dos turistas</t>
    </r>
  </si>
  <si>
    <t xml:space="preserve">Restauração do pavimento de ruas e avenidas </t>
  </si>
  <si>
    <t>Obras e Manutenção</t>
  </si>
  <si>
    <t>5</t>
  </si>
  <si>
    <r>
      <t>PROGRAMA:</t>
    </r>
    <r>
      <rPr>
        <sz val="9"/>
        <rFont val="Arial"/>
        <family val="2"/>
      </rPr>
      <t xml:space="preserve"> 0109 - GERAÇÃO DE EMPREGO E RENDA</t>
    </r>
  </si>
  <si>
    <r>
      <t xml:space="preserve">OBJETIVO: </t>
    </r>
    <r>
      <rPr>
        <sz val="9"/>
        <rFont val="Arial"/>
        <family val="2"/>
      </rPr>
      <t xml:space="preserve"> 0012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 xml:space="preserve">Fomentar o desenvolvimento da indústria e comércio com a geração de emprego, através da abertura de postos de trabalho e qualificação dos trabalhadores
</t>
    </r>
  </si>
  <si>
    <t>Firmar Parcerias com o SESC, SENAI e SEBRAE</t>
  </si>
  <si>
    <t>Atividade mantida</t>
  </si>
  <si>
    <t>Promoção de campanhas Educativas</t>
  </si>
  <si>
    <t>Reativação da Casa do Empreendedor</t>
  </si>
  <si>
    <t>Cursos de Capacitação</t>
  </si>
  <si>
    <t xml:space="preserve">População Capacitada </t>
  </si>
  <si>
    <t>2</t>
  </si>
  <si>
    <t xml:space="preserve">Realização de Feira regional de Produtores Rurais </t>
  </si>
  <si>
    <r>
      <t>PROGRAMA:</t>
    </r>
    <r>
      <rPr>
        <sz val="9"/>
        <rFont val="Arial"/>
        <family val="2"/>
      </rPr>
      <t xml:space="preserve"> 0110 - DESENVOLVIMENTO RURAL</t>
    </r>
  </si>
  <si>
    <r>
      <t xml:space="preserve">OBJETIVO: </t>
    </r>
    <r>
      <rPr>
        <sz val="9"/>
        <rFont val="Arial"/>
        <family val="2"/>
      </rPr>
      <t xml:space="preserve"> 0013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 xml:space="preserve">Promover o aumento da produção agrícola do Município a fim de trazer mais desenvolvimento econômico e social
</t>
    </r>
  </si>
  <si>
    <t xml:space="preserve">Construção de Viveiros Municípais </t>
  </si>
  <si>
    <t>Viveiros Construidos</t>
  </si>
  <si>
    <t>um</t>
  </si>
  <si>
    <t xml:space="preserve">Criação de hortas comunitárias </t>
  </si>
  <si>
    <t>Hortas Criadas</t>
  </si>
  <si>
    <t xml:space="preserve">Criação de feiras Municipais </t>
  </si>
  <si>
    <t xml:space="preserve">Capacitação dos produtores rurais </t>
  </si>
  <si>
    <t xml:space="preserve">População capacitada </t>
  </si>
  <si>
    <t xml:space="preserve">Fomentar a criação de cooperativas </t>
  </si>
  <si>
    <r>
      <t xml:space="preserve">OBJETIVO: </t>
    </r>
    <r>
      <rPr>
        <sz val="9"/>
        <rFont val="Arial"/>
        <family val="2"/>
      </rPr>
      <t xml:space="preserve"> 0014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 xml:space="preserve">Promover ações que ajudem a melhorar as condições de produção, armazenagem e a comercialização do pescado
</t>
    </r>
  </si>
  <si>
    <t>Realização de feira do peixe</t>
  </si>
  <si>
    <t xml:space="preserve">Demarcar areas de pesca </t>
  </si>
  <si>
    <t xml:space="preserve">Implantação do SIM Municipal </t>
  </si>
  <si>
    <t xml:space="preserve">Aumentar a criação de açudes </t>
  </si>
  <si>
    <r>
      <t>PROGRAMA:</t>
    </r>
    <r>
      <rPr>
        <sz val="9"/>
        <rFont val="Arial"/>
        <family val="2"/>
      </rPr>
      <t xml:space="preserve"> 0111 - MAIS ESPORTE E LAZER</t>
    </r>
  </si>
  <si>
    <r>
      <t xml:space="preserve">OBJETIVO: </t>
    </r>
    <r>
      <rPr>
        <sz val="9"/>
        <rFont val="Arial"/>
        <family val="2"/>
      </rPr>
      <t xml:space="preserve"> 0015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 xml:space="preserve">Assegurar o direito às práticas esportivas e de lazer a toda a comunidade, bem como ampliar e qualificar as suas realizações
</t>
    </r>
  </si>
  <si>
    <t xml:space="preserve">Realização de Campeonato de Futsal </t>
  </si>
  <si>
    <t>Realização de Campeonato de futebol de campo</t>
  </si>
  <si>
    <t>Evento realizado</t>
  </si>
  <si>
    <t>Realização de campeonato de voleibol</t>
  </si>
  <si>
    <t>Realização de Campeonato de Surf</t>
  </si>
  <si>
    <t xml:space="preserve">Realização de campeonato de Stand up Paddle </t>
  </si>
  <si>
    <t xml:space="preserve">Realização de Campeonato náutico </t>
  </si>
  <si>
    <r>
      <t xml:space="preserve">OBJETIVO: </t>
    </r>
    <r>
      <rPr>
        <sz val="9"/>
        <rFont val="Arial"/>
        <family val="2"/>
      </rPr>
      <t xml:space="preserve"> 0016</t>
    </r>
    <r>
      <rPr>
        <b/>
        <sz val="9"/>
        <rFont val="Arial"/>
        <family val="2"/>
      </rPr>
      <t xml:space="preserve"> -  </t>
    </r>
    <r>
      <rPr>
        <sz val="9"/>
        <rFont val="Arial"/>
        <family val="2"/>
      </rPr>
      <t xml:space="preserve">Promover a prática de diversas modalidades de esporte durante a alta temporada
</t>
    </r>
  </si>
  <si>
    <t xml:space="preserve">Realização de Torneio de verão </t>
  </si>
  <si>
    <t xml:space="preserve">Realização de Oficinas de esportes de verão </t>
  </si>
  <si>
    <t xml:space="preserve">Realização de campeonato de Jet Sky </t>
  </si>
  <si>
    <t>Realização de campeonado de rally</t>
  </si>
  <si>
    <t>Realização da roda de fogo</t>
  </si>
  <si>
    <r>
      <t>PROGRAMA:</t>
    </r>
    <r>
      <rPr>
        <sz val="9"/>
        <rFont val="Arial"/>
        <family val="2"/>
      </rPr>
      <t xml:space="preserve"> 0112 - FOMENTO AO FLUXO TURISTICO</t>
    </r>
  </si>
  <si>
    <r>
      <t xml:space="preserve">OBJETIVO: </t>
    </r>
    <r>
      <rPr>
        <sz val="9"/>
        <rFont val="Arial"/>
        <family val="2"/>
      </rPr>
      <t xml:space="preserve"> 0017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Promover a consolidação da identidade turística do Município perante a região litorânea</t>
    </r>
  </si>
  <si>
    <t xml:space="preserve">Criação da Rota turistica </t>
  </si>
  <si>
    <t xml:space="preserve">Criação do Eco Turismo </t>
  </si>
  <si>
    <t xml:space="preserve">Criação do turismo religioso </t>
  </si>
  <si>
    <t xml:space="preserve">Realização de evento automobilistico </t>
  </si>
  <si>
    <t>OE</t>
  </si>
  <si>
    <t xml:space="preserve">Concessão de incentivo aos artesões locais </t>
  </si>
  <si>
    <t xml:space="preserve">Incentivo concedido </t>
  </si>
  <si>
    <t>100</t>
  </si>
  <si>
    <t xml:space="preserve">Realização de Shows </t>
  </si>
  <si>
    <t>10</t>
  </si>
  <si>
    <t>Realização do Rodeio Municipal</t>
  </si>
  <si>
    <t xml:space="preserve">Realização do Carnaval </t>
  </si>
  <si>
    <t>Realização do Chocomel</t>
  </si>
  <si>
    <t>Realização do evento de natal</t>
  </si>
  <si>
    <t>Realização do Evento de ano novo</t>
  </si>
  <si>
    <t>Criação do Banco de dados de fluxo turistico</t>
  </si>
  <si>
    <r>
      <t>PROGRAMA:</t>
    </r>
    <r>
      <rPr>
        <sz val="9"/>
        <rFont val="Arial"/>
        <family val="2"/>
      </rPr>
      <t xml:space="preserve"> 0113 - MAIS SAÚDE</t>
    </r>
  </si>
  <si>
    <r>
      <t xml:space="preserve">OBJETIVO: </t>
    </r>
    <r>
      <rPr>
        <sz val="9"/>
        <rFont val="Arial"/>
        <family val="2"/>
      </rPr>
      <t xml:space="preserve"> 0019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Aumentar a capacidade de transporte de pacientes para atendimentos especializados nos centros de referencias</t>
    </r>
  </si>
  <si>
    <t xml:space="preserve">Aquisição de veículo de transporte </t>
  </si>
  <si>
    <r>
      <t xml:space="preserve">OBJETIVO: </t>
    </r>
    <r>
      <rPr>
        <sz val="9"/>
        <rFont val="Arial"/>
        <family val="2"/>
      </rPr>
      <t xml:space="preserve"> 0020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Melhorar as condições de atendimento de urgência e emergência</t>
    </r>
  </si>
  <si>
    <t>Instalação do Aparelho radiológico</t>
  </si>
  <si>
    <t>Instalação de equipamento</t>
  </si>
  <si>
    <t>Adequação do posto 24h para instalação do aparelho radiológico</t>
  </si>
  <si>
    <t>Obras e manutenção</t>
  </si>
  <si>
    <t>65%</t>
  </si>
  <si>
    <t>Ampliação e reestruturação da base do SAMU</t>
  </si>
  <si>
    <t>0001</t>
  </si>
  <si>
    <r>
      <t xml:space="preserve">OBJETIVO: </t>
    </r>
    <r>
      <rPr>
        <sz val="9"/>
        <rFont val="Arial"/>
        <family val="2"/>
      </rPr>
      <t xml:space="preserve"> </t>
    </r>
  </si>
  <si>
    <r>
      <t>PROGRAMA:</t>
    </r>
    <r>
      <rPr>
        <sz val="9"/>
        <rFont val="Arial"/>
        <family val="2"/>
      </rPr>
      <t xml:space="preserve"> Reequipamento </t>
    </r>
  </si>
  <si>
    <t>ÓRGÃO               02                  GABINETE DA PREFEITA</t>
  </si>
  <si>
    <t>Código</t>
  </si>
  <si>
    <t>Especificação</t>
  </si>
  <si>
    <t>Projeto</t>
  </si>
  <si>
    <t>Total</t>
  </si>
  <si>
    <t>0201 04 122 0002 1003</t>
  </si>
  <si>
    <t>Reequipamento</t>
  </si>
  <si>
    <t>0201 04 122 0002 2002</t>
  </si>
  <si>
    <t>Manut. Gabinete</t>
  </si>
  <si>
    <t>Conselhos Municipais</t>
  </si>
  <si>
    <t>ÓRGÃO               03                  PROCURADORIA GERAL DO MUNICÍPIO</t>
  </si>
  <si>
    <t>0301 04 122 0003 1003</t>
  </si>
  <si>
    <t>0301 04 122 0003 2003</t>
  </si>
  <si>
    <t>Manutenção da PGM</t>
  </si>
  <si>
    <t>Operação Especial</t>
  </si>
  <si>
    <t>ÓRGÃO               04                  SECRETARIA DE ADMINISTRAÇÃO E PLANEJAMENTO</t>
  </si>
  <si>
    <t>0401 04 122 0004 2004</t>
  </si>
  <si>
    <t>Manut. Da Secretraira</t>
  </si>
  <si>
    <t>0401 04 122 0103 1006</t>
  </si>
  <si>
    <t>Prédios Públicos</t>
  </si>
  <si>
    <t>0401 04 122 0103 1003</t>
  </si>
  <si>
    <t>0401 04 122 0108 2042</t>
  </si>
  <si>
    <t>Publicidade</t>
  </si>
  <si>
    <t>Aux. CONSEPRO</t>
  </si>
  <si>
    <t>ÓRGÃO               05               SECRETARIA DE FINANÇAS</t>
  </si>
  <si>
    <t>0501 04 122 0005 1003</t>
  </si>
  <si>
    <t>0501 04 122 0005 2006</t>
  </si>
  <si>
    <t>Manut. Secretaria</t>
  </si>
  <si>
    <t>ÓRGÃO               06               SECRETARIA DE EDUCAÇÃO E CULTURA</t>
  </si>
  <si>
    <t>0601 12 361 0006 1003</t>
  </si>
  <si>
    <t>0601 12 361 0006 1006</t>
  </si>
  <si>
    <t>0601 12 361 0006 2008</t>
  </si>
  <si>
    <t>Supervisão e Coord.</t>
  </si>
  <si>
    <t>0602 12 365 0110 1003</t>
  </si>
  <si>
    <t>0602 12 365 0110 2010</t>
  </si>
  <si>
    <t>Man. Ed. Infantil</t>
  </si>
  <si>
    <t>0602 12 365 0110 2022</t>
  </si>
  <si>
    <t>FUNDEB Ed. Infantil</t>
  </si>
  <si>
    <t>0603 12 361 0111 1003</t>
  </si>
  <si>
    <t>0603 12 361 0111 2012</t>
  </si>
  <si>
    <t>Ens. Fundamental</t>
  </si>
  <si>
    <t>0603 12 361 0111 2022</t>
  </si>
  <si>
    <t>FUNDEB Ens. Fundam.</t>
  </si>
  <si>
    <t>0603 12 361 0112 2016</t>
  </si>
  <si>
    <t>Ações Culturais</t>
  </si>
  <si>
    <t>0603 12 361 0114 2018</t>
  </si>
  <si>
    <t>Transporte Escolar</t>
  </si>
  <si>
    <t>0603 12 361 0115 2019</t>
  </si>
  <si>
    <t>Merenda Escolar</t>
  </si>
  <si>
    <t>0604 12 364 0116 2020</t>
  </si>
  <si>
    <t>Ensino Tec. E Sup.</t>
  </si>
  <si>
    <t xml:space="preserve">0605 13 392 0117 2023 </t>
  </si>
  <si>
    <t>Des. Cultural</t>
  </si>
  <si>
    <t>Manutenção do Prédio da SMEC</t>
  </si>
  <si>
    <t xml:space="preserve">Manutenção </t>
  </si>
  <si>
    <t>ÓRGÃO               07               SECRETARIA DE OBRAS, TRANSPORTES E SERVIÇOS URBANOS</t>
  </si>
  <si>
    <t>0701 04 122 0007 1003</t>
  </si>
  <si>
    <t>0701 04 122 0007 2024</t>
  </si>
  <si>
    <t>Manut. Sec. Obras</t>
  </si>
  <si>
    <t>0702 26 782 0121 2028</t>
  </si>
  <si>
    <t>Trâns/Transporte</t>
  </si>
  <si>
    <t xml:space="preserve">0702 26 782 0122 1020 </t>
  </si>
  <si>
    <t>Vias Públicas</t>
  </si>
  <si>
    <t>0703 15 452 0118 1003</t>
  </si>
  <si>
    <t>0703 15 452 0118 2026</t>
  </si>
  <si>
    <t>Serviços Urbanos</t>
  </si>
  <si>
    <t xml:space="preserve">0703 15 452 0118 2081 </t>
  </si>
  <si>
    <t>Coleta de Lixo</t>
  </si>
  <si>
    <t>0703 15 452 0119 2027</t>
  </si>
  <si>
    <t>Iluminação Pública</t>
  </si>
  <si>
    <t xml:space="preserve">0703 17 512 0123 2029 </t>
  </si>
  <si>
    <t>Saneamento</t>
  </si>
  <si>
    <t>ÓRGÃO               08               SECRETARIA DE SAÚDE</t>
  </si>
  <si>
    <t>0801 10 122 0103 1006</t>
  </si>
  <si>
    <t>0801 10 122 0126 1003</t>
  </si>
  <si>
    <t>Reequipamentos</t>
  </si>
  <si>
    <t>0801 10 125 0147 2051</t>
  </si>
  <si>
    <t>0801 10 301 0008 2005</t>
  </si>
  <si>
    <t>0801 10 301 0125 2030</t>
  </si>
  <si>
    <t>Saúde da Família</t>
  </si>
  <si>
    <t>0801 10 301 0127 2033</t>
  </si>
  <si>
    <t>Manut. Veículos</t>
  </si>
  <si>
    <t>0801 10 301 0128 2034</t>
  </si>
  <si>
    <t xml:space="preserve">Farmácia </t>
  </si>
  <si>
    <t>0801 10 301 0129 2035</t>
  </si>
  <si>
    <t>At. Especializado</t>
  </si>
  <si>
    <t>0801 10 301 0131 2036</t>
  </si>
  <si>
    <t>Saúde Bucal</t>
  </si>
  <si>
    <t>0801 10 302 0126 2031</t>
  </si>
  <si>
    <t>Pronto Atendimento</t>
  </si>
  <si>
    <t>0801 10 302 0126 2075</t>
  </si>
  <si>
    <t>Samu/Salvar Federal</t>
  </si>
  <si>
    <t>0802 10 302 0126 2075</t>
  </si>
  <si>
    <t>Samu/Salvar Estadual</t>
  </si>
  <si>
    <t>Man. Bolsa Família</t>
  </si>
  <si>
    <t>Manut. Acad. Saúde</t>
  </si>
  <si>
    <t>Vigilância em Saúde</t>
  </si>
  <si>
    <t>Oficinas Terapeuticas</t>
  </si>
  <si>
    <t>0801 10 301 0130 2013</t>
  </si>
  <si>
    <t>Manut. Pim</t>
  </si>
  <si>
    <t>ÓRGÃO               09               SECRETARIA DE INDÚSTRIA, COMÉRCIO, AGRICULTURA, PESCA, TURISMO E DESPORTO</t>
  </si>
  <si>
    <t>0901 23 695 0009 1003</t>
  </si>
  <si>
    <t>0901 23 695 0009 2038</t>
  </si>
  <si>
    <t>Manut. Da Secretaria</t>
  </si>
  <si>
    <t>0901 23 695 0132 1023</t>
  </si>
  <si>
    <t>Infra-estrutura</t>
  </si>
  <si>
    <t>0901 23 695 0134 2037</t>
  </si>
  <si>
    <t xml:space="preserve">Eventos </t>
  </si>
  <si>
    <t>0901 27 812 0152 1017</t>
  </si>
  <si>
    <t>Esporte de Verão</t>
  </si>
  <si>
    <t>0901 27 812 0153 1018</t>
  </si>
  <si>
    <t>Mais Esporte e Lazer</t>
  </si>
  <si>
    <t>0901 20 606 0151 2027</t>
  </si>
  <si>
    <t>Apoio a Agricultura</t>
  </si>
  <si>
    <t>0901 23 691 0149 2056</t>
  </si>
  <si>
    <t>Incentivo a Ind. E Com.</t>
  </si>
  <si>
    <t>ÓRGÃO               10                  SECRETARIA DE MEIO AMBIENTE</t>
  </si>
  <si>
    <t>1001 15 451 0136 1030</t>
  </si>
  <si>
    <t>Parques e Jardins</t>
  </si>
  <si>
    <t>1001 18 541 0010 1003</t>
  </si>
  <si>
    <t xml:space="preserve">Reequipamento </t>
  </si>
  <si>
    <t>1001 18 541 0010 2039</t>
  </si>
  <si>
    <t xml:space="preserve">Manut. Secretaria </t>
  </si>
  <si>
    <t>Cidade Limpa</t>
  </si>
  <si>
    <t>ÓRGÃO               11               SECRETARIA DE ASSISTÊNCIA SOCIAL, CIDADANIA E HABITAÇÃO</t>
  </si>
  <si>
    <t>Proteção Básica</t>
  </si>
  <si>
    <t>1101 08 243 0139 2062</t>
  </si>
  <si>
    <t>Manut. PIM</t>
  </si>
  <si>
    <t>1101 08 243 0146 2049</t>
  </si>
  <si>
    <t xml:space="preserve">Conselho Tutelar </t>
  </si>
  <si>
    <t>1101 08 244 0011 1003</t>
  </si>
  <si>
    <t>1101 08 244 0011 2041</t>
  </si>
  <si>
    <t>1108 08 244 0029 2086</t>
  </si>
  <si>
    <t>Programa FEAS</t>
  </si>
  <si>
    <t>Proteção Social Méd. Complexidade</t>
  </si>
  <si>
    <t>Proteção de Alta Complexidade</t>
  </si>
  <si>
    <t>Criança Feliz (PIM SUAS)</t>
  </si>
  <si>
    <t>1101 08 244 0029 2087</t>
  </si>
  <si>
    <t>1102 08 244 0144 2048</t>
  </si>
  <si>
    <t xml:space="preserve">Departamento da Mulher </t>
  </si>
  <si>
    <t>1103 16 482 0145 1031</t>
  </si>
  <si>
    <t xml:space="preserve">Programa de Habitação </t>
  </si>
  <si>
    <t xml:space="preserve">Cidadania </t>
  </si>
  <si>
    <t xml:space="preserve">Realização de Oficinas </t>
  </si>
  <si>
    <t xml:space="preserve">ÓRGÃO               21               FUNDO DE APOSENTADORIA </t>
  </si>
  <si>
    <t>Fundo de Aposentadoria</t>
  </si>
  <si>
    <t>2101 99 997 9999 9999</t>
  </si>
  <si>
    <t>Precatórios</t>
  </si>
  <si>
    <t>ÓRGÃO      1                       PODER LEGISLATIVO</t>
  </si>
  <si>
    <t>Manutenção do Legislativo</t>
  </si>
  <si>
    <t>Reserva de Contigência</t>
  </si>
  <si>
    <t>ADMINISTRAÇÃO</t>
  </si>
  <si>
    <t>Administração Geral</t>
  </si>
  <si>
    <t>0201 04 122 0002 1003 449052</t>
  </si>
  <si>
    <t>Equipamentos</t>
  </si>
  <si>
    <t>Ordinário</t>
  </si>
  <si>
    <t>0201 04 122 0002 2002 319011</t>
  </si>
  <si>
    <t xml:space="preserve">Vencimentos e Vantagens </t>
  </si>
  <si>
    <t>Diárias</t>
  </si>
  <si>
    <t>Material de Consumo</t>
  </si>
  <si>
    <t xml:space="preserve">Passagens </t>
  </si>
  <si>
    <t>0201 04 122 0002 2002 339014</t>
  </si>
  <si>
    <t>0201 04 122 0002 2002 339030</t>
  </si>
  <si>
    <t>0201 04 122 0002 2002 339033</t>
  </si>
  <si>
    <t>0201 04 122 0002 2002 339039</t>
  </si>
  <si>
    <t>0301 04 122 0003 1003 449052</t>
  </si>
  <si>
    <t>0301 04 122 0003 2003 319011</t>
  </si>
  <si>
    <t>0301 04 122 0003 2003 339014</t>
  </si>
  <si>
    <t>0301 04 122 0003 2003 339030</t>
  </si>
  <si>
    <t>0301 04 122 0003 2003 339039</t>
  </si>
  <si>
    <t>Outros Serviços de Terceiros</t>
  </si>
  <si>
    <t>0401 04 122 0004 2004 319003</t>
  </si>
  <si>
    <t xml:space="preserve">Pensões </t>
  </si>
  <si>
    <t>0401 04 122 0004 2004 319011</t>
  </si>
  <si>
    <t xml:space="preserve">Vencimento e Vantagens </t>
  </si>
  <si>
    <t>0401 04 122 0004 2004 339014</t>
  </si>
  <si>
    <t>Diarias</t>
  </si>
  <si>
    <t>0401 04 122 0004 2004 339030</t>
  </si>
  <si>
    <t>0401 04 122 0004 2004 339039</t>
  </si>
  <si>
    <t xml:space="preserve">Outros Serviços de Terceiros </t>
  </si>
  <si>
    <t>0401 04 122 0004 2004 339035</t>
  </si>
  <si>
    <t xml:space="preserve">Serviços de Comunicação </t>
  </si>
  <si>
    <t>0401 04 122 0103 1006 449051</t>
  </si>
  <si>
    <t>Obras e Instalações</t>
  </si>
  <si>
    <t>0401 04 122 0106 1003 449052</t>
  </si>
  <si>
    <t xml:space="preserve">Equipamentos </t>
  </si>
  <si>
    <t>0401 04 122 0108 2042 339039</t>
  </si>
  <si>
    <t>0401 04 181 0148 2053 339041</t>
  </si>
  <si>
    <t xml:space="preserve">Contribuições </t>
  </si>
  <si>
    <t>0501 04 122 0005 1003 449052</t>
  </si>
  <si>
    <t>0501 04 122 0005 2006 319011</t>
  </si>
  <si>
    <t>Vencimentos e vantagens</t>
  </si>
  <si>
    <t>0501 04 122 0005 2006 339014</t>
  </si>
  <si>
    <t xml:space="preserve">Diárias </t>
  </si>
  <si>
    <t>0501 04 122 0005 2006 339030</t>
  </si>
  <si>
    <t xml:space="preserve">Material de Concumo </t>
  </si>
  <si>
    <t>0501 04 122 0005 2006 339039</t>
  </si>
  <si>
    <t>0501 04 122 0005 2006 339093</t>
  </si>
  <si>
    <t xml:space="preserve">Indenizações </t>
  </si>
  <si>
    <t>0501 04 122 0005 2006 332093</t>
  </si>
  <si>
    <t>0601 12 361 0006 1003 449052</t>
  </si>
  <si>
    <t xml:space="preserve">0601 12 361 0006 1006 449051 </t>
  </si>
  <si>
    <t xml:space="preserve">Obras e Instalações </t>
  </si>
  <si>
    <t>0601 12 361 0006 1006 449051</t>
  </si>
  <si>
    <t>0601 12 361 0006 2008 319011</t>
  </si>
  <si>
    <t>0601 12 361 0006 2008 339014</t>
  </si>
  <si>
    <t xml:space="preserve">0601 12 361 0006 2008 339030 </t>
  </si>
  <si>
    <t xml:space="preserve">Material de Consumo </t>
  </si>
  <si>
    <t>0601 12 361 0006 2008 339039</t>
  </si>
  <si>
    <t>0602 12 365 0110 1003 449052</t>
  </si>
  <si>
    <t>0602 12 365 0110 2010 319011</t>
  </si>
  <si>
    <t>0602 12 365 0110 2010 339030</t>
  </si>
  <si>
    <t>0602 12 365 0110 2010 339039</t>
  </si>
  <si>
    <t>0603 12 361 0111 1003 449052</t>
  </si>
  <si>
    <t>0603 12 361 0111 2012 319011</t>
  </si>
  <si>
    <t>0603 12 361 0111 2012 339030</t>
  </si>
  <si>
    <t>0603 12 361 0111 2012 339036</t>
  </si>
  <si>
    <t>Serviço de Terceiro Pessoa Física</t>
  </si>
  <si>
    <t>Outros Serviços de Terceiro pessoa juridica</t>
  </si>
  <si>
    <t>0602 12 365 0110 2010 339036</t>
  </si>
  <si>
    <t>0603 12 361 0111 2012 339039</t>
  </si>
  <si>
    <t>0603 12 361 0111 2020 319011</t>
  </si>
  <si>
    <t>0603 12 361 0112 2016 339039</t>
  </si>
  <si>
    <t>0603 12 361 0112 2016 339030</t>
  </si>
  <si>
    <t>0603 12 361 0114 2018 339030</t>
  </si>
  <si>
    <t xml:space="preserve">0603 12 361 0114 2018 339030 </t>
  </si>
  <si>
    <t>1025</t>
  </si>
  <si>
    <t>1021</t>
  </si>
  <si>
    <t>1072</t>
  </si>
  <si>
    <t>0603 12 361 0114 2018 339036</t>
  </si>
  <si>
    <t>0603 12 361 0114 2018 339039</t>
  </si>
  <si>
    <t>20</t>
  </si>
  <si>
    <t>0603 12 361 0115 2019 339030</t>
  </si>
  <si>
    <t>0604 12 364 0116 2020 335043</t>
  </si>
  <si>
    <t>Subvenções Sociais</t>
  </si>
  <si>
    <t>0604 12 364 0116 2020 339030</t>
  </si>
  <si>
    <t>0604 12 364 0116 2020 339039</t>
  </si>
  <si>
    <t>0605 13 392 0117 2023 319011</t>
  </si>
  <si>
    <t>0605 13 392 0117 2023 335043</t>
  </si>
  <si>
    <t>0605 13 392 0117 2023 339030</t>
  </si>
  <si>
    <t>0605 13 392 0117 2023 339039</t>
  </si>
  <si>
    <t>0605 13 392 0117 2023 339048</t>
  </si>
  <si>
    <t>Outros Auxilios Financeiros</t>
  </si>
  <si>
    <t>0701 04 122 0007 1003 449052</t>
  </si>
  <si>
    <t>0701 04 122 0007 2024 319011</t>
  </si>
  <si>
    <t>0701 04 122 0007 2024 339014</t>
  </si>
  <si>
    <t>0701 04 122 0007 2024 339030</t>
  </si>
  <si>
    <t>0701 04 122 0007 2024 339036</t>
  </si>
  <si>
    <t>Serviço de Terceiro pessoa física</t>
  </si>
  <si>
    <t>0701 04 122 007 2024 339039</t>
  </si>
  <si>
    <t>Outros Serviços de Terceiro Pessoa Juridica</t>
  </si>
  <si>
    <t>0702 26 782 0121 2028 319011</t>
  </si>
  <si>
    <t>0702 26 782 0121 2028 339030</t>
  </si>
  <si>
    <t>0702 26 782 0121 2028 339036</t>
  </si>
  <si>
    <t>0702 26 782 0121 2028 339039</t>
  </si>
  <si>
    <t>0702 26 782 0122 1020 449051</t>
  </si>
  <si>
    <t>0703 15 452 0118 1003 449052</t>
  </si>
  <si>
    <t>0703 15 452 0118 2026 319011</t>
  </si>
  <si>
    <t>0703 15 452 0118 2026 339030</t>
  </si>
  <si>
    <t>0703 15 452 0118 2026 339036</t>
  </si>
  <si>
    <t>0703 15 452 0118 2026 339039</t>
  </si>
  <si>
    <t>0703 15 452 0118 2081 339039</t>
  </si>
  <si>
    <t>0703 15 452 0119 2027 339030</t>
  </si>
  <si>
    <t xml:space="preserve">0703 15 452 0119 2027 339039 </t>
  </si>
  <si>
    <t>0703 17 512 0123 2029 3390390</t>
  </si>
  <si>
    <t xml:space="preserve">Manutenção da Secretaria </t>
  </si>
  <si>
    <t>0801 10 122 0103 1006 449051</t>
  </si>
  <si>
    <t>0801 10 122 0126 1003 449052</t>
  </si>
  <si>
    <t>0801 10 125 0147 2051 339014</t>
  </si>
  <si>
    <t>0801 10 125 0147 2051 339030</t>
  </si>
  <si>
    <t>0801 10 125 0147 2051 339039</t>
  </si>
  <si>
    <t>Outros Serviços de Terceiros Pessoa Juridica</t>
  </si>
  <si>
    <t>0801 10 125 0147 2051 449052</t>
  </si>
  <si>
    <t>0801 10 301 0008 2005 319011</t>
  </si>
  <si>
    <t>0801 10 301 0008 2005 339030</t>
  </si>
  <si>
    <t>0801 10 301 0008 2005 339036</t>
  </si>
  <si>
    <t>Serviço de Terceiros Pessoa Física</t>
  </si>
  <si>
    <t>0801 10 301 0008 2005 339039</t>
  </si>
  <si>
    <t>0801 10 301 0125 2030 319011</t>
  </si>
  <si>
    <t>0801 10 301 0125 2030 339030</t>
  </si>
  <si>
    <t>0801 10 301 0125 2030 339036</t>
  </si>
  <si>
    <t>0801 10 301 0125 2030 339039</t>
  </si>
  <si>
    <t>0801 10 301 0127 2033 339030</t>
  </si>
  <si>
    <t>0801 10 301 0127 2033 339039</t>
  </si>
  <si>
    <t>0801 10 301 0127 2033 339036</t>
  </si>
  <si>
    <t>0801 10 301 0127 2033 449052</t>
  </si>
  <si>
    <t>0801 10 301 0128 2034 339032</t>
  </si>
  <si>
    <t>Material, bem. (Material de Distribuição Gratuíta)</t>
  </si>
  <si>
    <t>0801 10 301 0129 2035 339039</t>
  </si>
  <si>
    <t>0801 10 301 0129 2035 339036</t>
  </si>
  <si>
    <t>0801 10 301 0130 2013 319011</t>
  </si>
  <si>
    <t>0801 10 301 0131 2036 319011</t>
  </si>
  <si>
    <t>0801 10 301 0131 2036 339030</t>
  </si>
  <si>
    <t>0801 10 301 0131 2036 339039</t>
  </si>
  <si>
    <t>0801 10 302 0126 2031 319011</t>
  </si>
  <si>
    <t>0801 10 302 0126 2031 319034</t>
  </si>
  <si>
    <t>0801 10 302 0126 2031 309034</t>
  </si>
  <si>
    <t>0801 10 302 0126 2031 339014</t>
  </si>
  <si>
    <t>Outras despesas de pessoal</t>
  </si>
  <si>
    <t>0801 10 302 0126 2031 339030</t>
  </si>
  <si>
    <t>0801 10 302 0126 2031 339036</t>
  </si>
  <si>
    <t>0801 10 302 0126 2031 339039</t>
  </si>
  <si>
    <t xml:space="preserve">0801 10 302 0126 2031 449052 </t>
  </si>
  <si>
    <t>0801 10 302 0126 2031 449051</t>
  </si>
  <si>
    <t>0801 10 302 0126 2075 337101</t>
  </si>
  <si>
    <t xml:space="preserve">Samu/Salvar  </t>
  </si>
  <si>
    <t xml:space="preserve">0801 10 302 0126 2075 337101 </t>
  </si>
  <si>
    <t>Samu/Salvar</t>
  </si>
  <si>
    <t>0802 10 302 0126 2075 339030</t>
  </si>
  <si>
    <t>0802 10 302 0126 2075 339036</t>
  </si>
  <si>
    <t>0802 10 302 0126 2075 339039</t>
  </si>
  <si>
    <t>0901 23 695 0009 1003 449052</t>
  </si>
  <si>
    <t>0901 23 695 0009 2038 319011</t>
  </si>
  <si>
    <t>0901 23 695 0009 2038 339014</t>
  </si>
  <si>
    <t>0901 23 695 0009 2038 339030</t>
  </si>
  <si>
    <t>Vencimentos e Vantagens</t>
  </si>
  <si>
    <t>0901 23 695 0009 2038 339036</t>
  </si>
  <si>
    <t>Serviços de Terceiros de Pessoa Física</t>
  </si>
  <si>
    <t>0901 23 695 0009 2038 339039</t>
  </si>
  <si>
    <t xml:space="preserve">Outros Serviços de Terceiros Pessoa Jurídica </t>
  </si>
  <si>
    <t>0901 23 695 0132 1023 449051</t>
  </si>
  <si>
    <t>0901 23 695 0134 2037 339030</t>
  </si>
  <si>
    <t>0901 23 695 0134 2037 339036</t>
  </si>
  <si>
    <t>0901 23 695 0134 2037 339039</t>
  </si>
  <si>
    <t xml:space="preserve">Outros Auxílios Financeiros </t>
  </si>
  <si>
    <t>0901 27 812 0152 1017 339030</t>
  </si>
  <si>
    <t>0901 27 812 0152 1017 339036</t>
  </si>
  <si>
    <t>0901 27 812 0152 1017 339039</t>
  </si>
  <si>
    <t>0901 27 812 0153 1018 339030</t>
  </si>
  <si>
    <t>0901 27 812 0153 1018 339036</t>
  </si>
  <si>
    <t>0901 27 812 0153 1018 339039</t>
  </si>
  <si>
    <t>0901 20 606 0151 2027 339030</t>
  </si>
  <si>
    <t>0901 20 606 0151 2027 339036</t>
  </si>
  <si>
    <t>0901 20 606 0151 2027 339039</t>
  </si>
  <si>
    <t>0901 23 691 0149 2056 339030</t>
  </si>
  <si>
    <t>0901 23 691 0149 2056 339036</t>
  </si>
  <si>
    <t>0901 23 691 0149 2056 339039</t>
  </si>
  <si>
    <t>1001 15 451 0136 1030 449051</t>
  </si>
  <si>
    <t>1001 18 541 0010 1003 449052</t>
  </si>
  <si>
    <t>1001 18 541 0010 2039 319011</t>
  </si>
  <si>
    <t>1001 18 541 0010 2039 339014</t>
  </si>
  <si>
    <t>1001 18 541 0010 2039 339036</t>
  </si>
  <si>
    <t>1001 18 541 0010 2039 339030</t>
  </si>
  <si>
    <t xml:space="preserve">Outros Serviços de Terceiro Pessoa Juridico </t>
  </si>
  <si>
    <t>1001 18 541 0010 2039 339039</t>
  </si>
  <si>
    <t xml:space="preserve">1001 18 541 0010 2040 </t>
  </si>
  <si>
    <t>1001 18 541 0010 2040 339030</t>
  </si>
  <si>
    <t>1001 18 541 0010 2040 339036</t>
  </si>
  <si>
    <t>1001 18 541 0010 2040 339039</t>
  </si>
  <si>
    <t>1001 18 541 0010 2040 449052</t>
  </si>
  <si>
    <t xml:space="preserve">Outros Serviços de Terceiro Pessoa Juridica </t>
  </si>
  <si>
    <t xml:space="preserve">Serviços de Terceiro Pessoa Física </t>
  </si>
  <si>
    <t xml:space="preserve">Outros Serviços de Terceiro Pessoa Juridíca </t>
  </si>
  <si>
    <t>1101 08 243 0146 2049 319011</t>
  </si>
  <si>
    <t>1101 08 243 0146 2049 339030</t>
  </si>
  <si>
    <t>1101 08 243 0146 2049 339039</t>
  </si>
  <si>
    <t>1101 08 244 0011 1003 449052</t>
  </si>
  <si>
    <t xml:space="preserve">1101 08 244 0011 2041 319011 </t>
  </si>
  <si>
    <t>1101 08 244 0011 2041 339030</t>
  </si>
  <si>
    <t>1101 08 244 0011 2041 339036</t>
  </si>
  <si>
    <t>1101 08 244 0011 2041 339039</t>
  </si>
  <si>
    <t>1101 08 244 0011 2041 339014</t>
  </si>
  <si>
    <t>1101 08 244 0011 2041 339048</t>
  </si>
  <si>
    <t xml:space="preserve">Outros Auxilios Financeiros </t>
  </si>
  <si>
    <t>1108 08 244 0029 2086 449052</t>
  </si>
  <si>
    <t xml:space="preserve">Conselho de Assitência </t>
  </si>
  <si>
    <t>1101 08 244 0029 2087 339030</t>
  </si>
  <si>
    <t>1101 08 244 0029 2087 339036</t>
  </si>
  <si>
    <t>1101 08 244 0029 2087 339039</t>
  </si>
  <si>
    <t>1102 08 244 0144 2048 339030</t>
  </si>
  <si>
    <t>1102 08 244 0144 2048 339039</t>
  </si>
  <si>
    <t>1102 08 244 0144 2048 449051</t>
  </si>
  <si>
    <t>1103 16 482 0145 1031 339032</t>
  </si>
  <si>
    <t>1103 16 482 0145 1031 339039</t>
  </si>
  <si>
    <t>1103 16 482 0145 1031 449051</t>
  </si>
  <si>
    <t>Material, bem (Material de Distribuição gratuita)</t>
  </si>
  <si>
    <t xml:space="preserve">Outros Benefícios </t>
  </si>
  <si>
    <t>2101 09 272 0010 2001</t>
  </si>
  <si>
    <t>2101 09 272 0010 2001 319001</t>
  </si>
  <si>
    <t>2101 09 272 0010 2001 319003</t>
  </si>
  <si>
    <t>2101 09 272 0010 2001 319005</t>
  </si>
  <si>
    <t>2101 09 272 0010 2001 339036</t>
  </si>
  <si>
    <t xml:space="preserve">2101 09 272 0010 2001 339030 </t>
  </si>
  <si>
    <t>2101 09 272 0010 2001 339039</t>
  </si>
  <si>
    <t>Serviço de Terceiro de Pessoa Física</t>
  </si>
  <si>
    <t>2101 99 997 9999 9999 999999</t>
  </si>
  <si>
    <t xml:space="preserve">Reserva de Contingencia </t>
  </si>
  <si>
    <t xml:space="preserve">Reserva de Contingência </t>
  </si>
  <si>
    <t xml:space="preserve">2001 99 999 9999 9999 </t>
  </si>
  <si>
    <t>2001 99 999 9999 9999 999999</t>
  </si>
  <si>
    <t xml:space="preserve">  ÓRGÃO      20             RESERVA DE CONTINGÊNCIA</t>
  </si>
  <si>
    <t xml:space="preserve">FUNÇÃO 04 ADMINISTRATAÇÃO </t>
  </si>
  <si>
    <t xml:space="preserve">ÓRGÃO </t>
  </si>
  <si>
    <t>02</t>
  </si>
  <si>
    <t>GABINETE DA PREFEITA</t>
  </si>
  <si>
    <t>03</t>
  </si>
  <si>
    <t xml:space="preserve">PROCURADORIA </t>
  </si>
  <si>
    <t>04</t>
  </si>
  <si>
    <t>SECRETARIA DE ADMINISTRAÇÃO</t>
  </si>
  <si>
    <t>05</t>
  </si>
  <si>
    <t>SECRETARIA DE FINANÇAS</t>
  </si>
  <si>
    <t>07</t>
  </si>
  <si>
    <t>SECRETARIA DE OBRAS, TRANSPORTES E SERVIÇOS URBANOS</t>
  </si>
  <si>
    <t xml:space="preserve">FUNÇÃO 12 EDUCAÇÃO </t>
  </si>
  <si>
    <t>06</t>
  </si>
  <si>
    <t xml:space="preserve">SECRETARIA DE EDUCAÇÃO E CULTURA </t>
  </si>
  <si>
    <t xml:space="preserve">FUNÇÃO 13 CULTURA </t>
  </si>
  <si>
    <t xml:space="preserve">FUNÇÃO 26 TRANSPORTE </t>
  </si>
  <si>
    <t xml:space="preserve">FUNÇÃO 15 URBANISMO </t>
  </si>
  <si>
    <t>FUNÇÃO 17  SANEAMENTO</t>
  </si>
  <si>
    <t xml:space="preserve">FUNÇÃO 10 SAÚDE </t>
  </si>
  <si>
    <t>08</t>
  </si>
  <si>
    <t xml:space="preserve">SECRETARIA DE SAÚDE </t>
  </si>
  <si>
    <t>FUNÇÃO 23 COMÉRCIO E SERVIÇO</t>
  </si>
  <si>
    <t xml:space="preserve">SECRETARIA DE INDÚSTRIA, COMÉRCIO, AGRICULTURA, PESCA, TURISMO E DESPORTO </t>
  </si>
  <si>
    <t>09</t>
  </si>
  <si>
    <t xml:space="preserve">FUNÇÃO 27 DESPORTO E LAZER </t>
  </si>
  <si>
    <t>TOTAL DA FUNÇÃO --------------------------------------------------------------------------------------------------------------------------------</t>
  </si>
  <si>
    <t>FUNÇÃO 20 AGRICULTURA</t>
  </si>
  <si>
    <t xml:space="preserve">SECRETARIA DE MEIO AMBIENTE </t>
  </si>
  <si>
    <t>FUNÇÃO 18 GESTÃO AMBIENTAL</t>
  </si>
  <si>
    <t>FUNÇÃO 08 ASSISTÊNCIA SOCIAL</t>
  </si>
  <si>
    <t>11</t>
  </si>
  <si>
    <t>SECRETARIA DE ASSISTENCIA SOCIAL CIDADANIA E HABITAÇÃO</t>
  </si>
  <si>
    <t xml:space="preserve">FUNÇÃO 16 HABITAÇÃO </t>
  </si>
  <si>
    <t>FUNÇÃO 09 PREVIDÊNCIA SOCIAL</t>
  </si>
  <si>
    <t>21</t>
  </si>
  <si>
    <t xml:space="preserve">FUNDO DE APOSENTADORIA </t>
  </si>
  <si>
    <t>17</t>
  </si>
  <si>
    <t>FUNÇÃO 99 RESERVA DE CONTINGÊNCIA</t>
  </si>
  <si>
    <t>Reserva de Contingência</t>
  </si>
  <si>
    <t>TOTAL -----------------------------------------------------------------------------------------------------------------------------------------------------</t>
  </si>
  <si>
    <t>FUNÇÃO 01 LEGISLATIVA</t>
  </si>
  <si>
    <t>01</t>
  </si>
  <si>
    <t>PODER LEGISLATIVO</t>
  </si>
  <si>
    <t>TOTAL DA FUNÇÃO ---------------------------------------------------------------------------------------------------------------------------------</t>
  </si>
  <si>
    <t>TOTAL DA FUNÇÃO -------------------------------------------------------------------------------------------------------------------------------</t>
  </si>
  <si>
    <t>TOTAL DA FUNÇÃO ----------------------------------------------------------------------------------------------------------------------------------</t>
  </si>
  <si>
    <t xml:space="preserve">Código </t>
  </si>
  <si>
    <t xml:space="preserve">Especificação </t>
  </si>
  <si>
    <t>Projetos</t>
  </si>
  <si>
    <t>Atividades</t>
  </si>
  <si>
    <t>04 122</t>
  </si>
  <si>
    <t xml:space="preserve">04 122 0002 </t>
  </si>
  <si>
    <t xml:space="preserve">Gestão e Manutenção Gabinete da Prefeita </t>
  </si>
  <si>
    <t>04 122 0003</t>
  </si>
  <si>
    <t>Gestão e Manutenção da Procuradoria</t>
  </si>
  <si>
    <t>04 122 0004</t>
  </si>
  <si>
    <t>Gestão e Manutenção Secretaria de Administração e Planejamento</t>
  </si>
  <si>
    <t>04 122 0005</t>
  </si>
  <si>
    <t>Gestão e Manutenção Secretaria de Finanças</t>
  </si>
  <si>
    <t>04 122 0007</t>
  </si>
  <si>
    <t>Gestão e Manutenção Secretaria de Obras, Transportes e Serviços Urbanos</t>
  </si>
  <si>
    <t>04 122 0012</t>
  </si>
  <si>
    <t xml:space="preserve">Gestão e Manutenção Secretaria de Gestão e Relações Institucionais </t>
  </si>
  <si>
    <t>SEGURANÇA PÚBLICA</t>
  </si>
  <si>
    <t xml:space="preserve">06 181 </t>
  </si>
  <si>
    <t xml:space="preserve">Policiamento </t>
  </si>
  <si>
    <t>06 181 0148</t>
  </si>
  <si>
    <t xml:space="preserve">Auxílio CONSEPRO </t>
  </si>
  <si>
    <t>0101 01 031 0001 1001</t>
  </si>
  <si>
    <t>Const/Aparel</t>
  </si>
  <si>
    <t>0101 01 031 0001 1001 449052</t>
  </si>
  <si>
    <t>0101 01 031 0001 1047</t>
  </si>
  <si>
    <t>0101 01 031 0001 1047 449051</t>
  </si>
  <si>
    <t>Amp. Ref. Câmara</t>
  </si>
  <si>
    <t>0101 01 031 0001 2001</t>
  </si>
  <si>
    <t>0101 01 031 0001 2001 319011</t>
  </si>
  <si>
    <t xml:space="preserve">Vencimentos e vantagens </t>
  </si>
  <si>
    <t>0101 01 031 0001 2001 339014</t>
  </si>
  <si>
    <t>0101 01 031 0001 2001 339030</t>
  </si>
  <si>
    <t>0101 01 031 0001 2001 339036</t>
  </si>
  <si>
    <t>Serviços de Terceiro Pessoa Física</t>
  </si>
  <si>
    <t>0101 01 031 0001 2001 339039</t>
  </si>
  <si>
    <t>0101 01 031 0001 2001 339033</t>
  </si>
  <si>
    <t xml:space="preserve">Passagens e Deslocamento </t>
  </si>
  <si>
    <t>0101 01 031 0001 2001 339035</t>
  </si>
  <si>
    <t xml:space="preserve">Serviço de Consultoria </t>
  </si>
  <si>
    <t xml:space="preserve">01 </t>
  </si>
  <si>
    <t>01 031</t>
  </si>
  <si>
    <t>01 031 0001</t>
  </si>
  <si>
    <t>LEGISLATIVA</t>
  </si>
  <si>
    <t>Ação Legislativa</t>
  </si>
  <si>
    <t xml:space="preserve">Gestão e Manutenção Câmara de Vereadores </t>
  </si>
  <si>
    <t>09 272</t>
  </si>
  <si>
    <t>09 272 0010</t>
  </si>
  <si>
    <t>10 122</t>
  </si>
  <si>
    <t>SAÚDE</t>
  </si>
  <si>
    <t>ADMINISTRAÇÃO GERAL</t>
  </si>
  <si>
    <t>Espaços e Prédios Públicos</t>
  </si>
  <si>
    <t xml:space="preserve">10 122 0103 </t>
  </si>
  <si>
    <t>10 122 0126</t>
  </si>
  <si>
    <t xml:space="preserve">10 125 </t>
  </si>
  <si>
    <t xml:space="preserve">10 125 0147 </t>
  </si>
  <si>
    <t>Qualificação Atendimento ao Público</t>
  </si>
  <si>
    <t xml:space="preserve">Normalização e Fiscalização </t>
  </si>
  <si>
    <t>10 301</t>
  </si>
  <si>
    <t xml:space="preserve">Atenção Básica </t>
  </si>
  <si>
    <t>10 301 0008</t>
  </si>
  <si>
    <t xml:space="preserve">Gestão e Manutenção da Secretaria </t>
  </si>
  <si>
    <t>10 301 0125</t>
  </si>
  <si>
    <t>10 301 0127</t>
  </si>
  <si>
    <t>10 301 0128</t>
  </si>
  <si>
    <t>10 301 0129</t>
  </si>
  <si>
    <t>10 301 0130</t>
  </si>
  <si>
    <t>10 301 0131</t>
  </si>
  <si>
    <t>10 302</t>
  </si>
  <si>
    <t>10 302 0126</t>
  </si>
  <si>
    <t xml:space="preserve">Pronto Atendimento </t>
  </si>
  <si>
    <t>2101 09 272 0010 2001 319113</t>
  </si>
  <si>
    <t>Vínculo</t>
  </si>
  <si>
    <t xml:space="preserve">Obrigações Patronais </t>
  </si>
  <si>
    <t xml:space="preserve">Encargos da Divida - Principal </t>
  </si>
  <si>
    <t xml:space="preserve">Encargos da Divida - Juros </t>
  </si>
  <si>
    <t xml:space="preserve">Parcelamento RPPS </t>
  </si>
  <si>
    <t>0020</t>
  </si>
  <si>
    <t>0031</t>
  </si>
  <si>
    <t>1022</t>
  </si>
  <si>
    <t>0040</t>
  </si>
  <si>
    <t>4521</t>
  </si>
  <si>
    <t>4090</t>
  </si>
  <si>
    <t>4520</t>
  </si>
  <si>
    <t>4530</t>
  </si>
  <si>
    <t>4710</t>
  </si>
  <si>
    <t>4011</t>
  </si>
  <si>
    <t>4510</t>
  </si>
  <si>
    <t>4040</t>
  </si>
  <si>
    <t>4620</t>
  </si>
  <si>
    <t>4050</t>
  </si>
  <si>
    <t>4590</t>
  </si>
  <si>
    <t>4770</t>
  </si>
  <si>
    <t>4160</t>
  </si>
  <si>
    <t>4540</t>
  </si>
  <si>
    <t>4112</t>
  </si>
  <si>
    <t>4170</t>
  </si>
  <si>
    <t>4230</t>
  </si>
  <si>
    <t>TOTAL DO ÓRGÃO --------------------------------------------------------------------------------------------------------------------------------------------------------------------------------------------------------------------------------</t>
  </si>
  <si>
    <t>0804 10 301 0029 2088</t>
  </si>
  <si>
    <t>0804 10 301 0029 2088 339030</t>
  </si>
  <si>
    <t>0804 10 301 0029 2088 339039</t>
  </si>
  <si>
    <t>0804 10 301 0029 2088 339036</t>
  </si>
  <si>
    <t>0901 23 695 0009 2038 339048</t>
  </si>
  <si>
    <t>1036</t>
  </si>
  <si>
    <t>1101 08 243 0139 2062 339030</t>
  </si>
  <si>
    <t>1101 08 243 0139 2062 339039</t>
  </si>
  <si>
    <t>1034</t>
  </si>
  <si>
    <t>IGD PBF</t>
  </si>
  <si>
    <t>IGD SUAS</t>
  </si>
  <si>
    <t>1059</t>
  </si>
  <si>
    <t>1069</t>
  </si>
  <si>
    <t>1067</t>
  </si>
  <si>
    <t>1070</t>
  </si>
  <si>
    <t>1071</t>
  </si>
  <si>
    <t>1108 08 422 1078 2097 339030</t>
  </si>
  <si>
    <t>1108 08 422 1078 2097 339036</t>
  </si>
  <si>
    <t>1108 08 422 1078 2097 339039</t>
  </si>
  <si>
    <t>TOTAL DO ÓRGÃO -------------------------------------------------------------------------------------------------------------------------------------------------------------------------------------------------------------------------------</t>
  </si>
  <si>
    <t>ÓRGÃO               16               SECRETARIA DE GESTÃO E RELAÇÕES INSTITUCIONAIS</t>
  </si>
  <si>
    <t xml:space="preserve">1601 04 122 0016 2059 </t>
  </si>
  <si>
    <t>1601 04 122 0016 2059 319011</t>
  </si>
  <si>
    <t>1601 04 122 0016 2059 339030</t>
  </si>
  <si>
    <t>1601 04 122 0016 2059 339039</t>
  </si>
  <si>
    <t>Outros Serviços de terceiro Pessoa Juridica</t>
  </si>
  <si>
    <t xml:space="preserve">1601 04 122 0016 2051 </t>
  </si>
  <si>
    <t>1601 04 122 0016 2051 339030</t>
  </si>
  <si>
    <t>1601 04 122 0016 2051 339036</t>
  </si>
  <si>
    <t>1601 04 122 0016 2051 339039</t>
  </si>
  <si>
    <t>TOTAL DO ÓRGÃO   ----------------------------------------------------------------------------------------------------------------------------------------------------------------------------------------------------------------------------</t>
  </si>
  <si>
    <t>1601 04 122 0016 2051 319013</t>
  </si>
  <si>
    <t>TOTAL DO ÓRGÃO--------------------------------------------------------------------------------------------------------------------------------------------------------------------------------------------------------------------------------</t>
  </si>
  <si>
    <t>0201 04 122 0002 2002 319013</t>
  </si>
  <si>
    <t xml:space="preserve">0001 </t>
  </si>
  <si>
    <t>Obrigações Patronais</t>
  </si>
  <si>
    <t>0301 04 123 0104 1007</t>
  </si>
  <si>
    <t>0301 04 123 0104 1007 339091</t>
  </si>
  <si>
    <t xml:space="preserve">Sentenças Judiciais </t>
  </si>
  <si>
    <t>0301 14 422 0102 1004</t>
  </si>
  <si>
    <t>0301 14 422 0102 1004 339030</t>
  </si>
  <si>
    <t>0301 14 422 0102 1004 339039</t>
  </si>
  <si>
    <t xml:space="preserve">Regularização Fund. </t>
  </si>
  <si>
    <t>TOTAL DO ÓRGÃO ------------------------------------------------------------------------------------------------------------------------------------------------------------------------------------------------------------------------------</t>
  </si>
  <si>
    <t>0301 04 122 0003 2003 319013</t>
  </si>
  <si>
    <t>0101 01 031 0001 2001 319013</t>
  </si>
  <si>
    <t>0101 01 031 0001 2001 319113</t>
  </si>
  <si>
    <t>0301 04 122 0003 2003 319113</t>
  </si>
  <si>
    <t>0401 04 122 0004 2004 319013</t>
  </si>
  <si>
    <t>0401 04 122 0004 2004 319113</t>
  </si>
  <si>
    <t>TOTAL DO ÓRGAO--------------------------------------------------------------------------------------------------------------------------------------------------------------------------------------------------------------------------------</t>
  </si>
  <si>
    <t>0501 04 122 0005 2006 319013</t>
  </si>
  <si>
    <t>0501 04 122 0005 2006 319113</t>
  </si>
  <si>
    <t>0601 12 361 0006 2008 319013</t>
  </si>
  <si>
    <t>0601 12 361 0006 2008 319113</t>
  </si>
  <si>
    <t>0602 12 365 0110 2010 319013</t>
  </si>
  <si>
    <t>0602 12 365 0110 2010 319113</t>
  </si>
  <si>
    <t>0602 12 365 0110 2002 319011</t>
  </si>
  <si>
    <t>0603 12 361 0111 2012 319013</t>
  </si>
  <si>
    <t>0603 12 361 0111 2012 319113</t>
  </si>
  <si>
    <t>0603 12 361 0111 2020 319013</t>
  </si>
  <si>
    <t>0603 12 361 0111 2020 319113</t>
  </si>
  <si>
    <t>0605 13 392 0117 2023 319013</t>
  </si>
  <si>
    <t>0605 13 392 0117 2023 319113</t>
  </si>
  <si>
    <t>Obrgações Patronais</t>
  </si>
  <si>
    <t>0701 04 122 0007 2024 319013</t>
  </si>
  <si>
    <t>0701 04 122 0007 2024 319113</t>
  </si>
  <si>
    <t>0702 26 782 0121 2028 319013</t>
  </si>
  <si>
    <t>0702 26 782 0121 2028 319113</t>
  </si>
  <si>
    <t>0703 15 452 0118 2026 319013</t>
  </si>
  <si>
    <t>0703 15 452 0118 2026 319113</t>
  </si>
  <si>
    <t>0801 10 301 0008 2005 319013</t>
  </si>
  <si>
    <t>0801 10 301 0008 2005 319113</t>
  </si>
  <si>
    <t xml:space="preserve">0040 </t>
  </si>
  <si>
    <t>0801 10 301 0125 2030 319013</t>
  </si>
  <si>
    <t>0801 10 301 0125 2030 319113</t>
  </si>
  <si>
    <t>0801 10 302 0126 2031 319013</t>
  </si>
  <si>
    <t>0801 10 302 0126 2031 319113</t>
  </si>
  <si>
    <t>0901 23 695 0009 2038 319013</t>
  </si>
  <si>
    <t>0901 23 695 0009 2038 319113</t>
  </si>
  <si>
    <t>1001 18 541 0010 2039 319013</t>
  </si>
  <si>
    <t>1001 18 541 0010 2039 319113</t>
  </si>
  <si>
    <t>1101 08 243 0146 2049 319013</t>
  </si>
  <si>
    <t>TOTAL DO ÓRGÃO ---------------------------------------------------------------------------------------------------------------------------------------------------------------------------------------------------------------------------------</t>
  </si>
  <si>
    <t>Amortização da Divida</t>
  </si>
  <si>
    <t xml:space="preserve">1701 28 846 0017 2060  </t>
  </si>
  <si>
    <t>1701 28 846 0017 2060 469071</t>
  </si>
  <si>
    <t>1701 28 846 0017 2060 329021</t>
  </si>
  <si>
    <t xml:space="preserve">1701 28 846 0017 2098 </t>
  </si>
  <si>
    <t>1701 28 846 0017 2079</t>
  </si>
  <si>
    <t>Contr. PASEP</t>
  </si>
  <si>
    <t>1701 28 846 0017 2079 319047</t>
  </si>
  <si>
    <t xml:space="preserve">Obrigações Trib. </t>
  </si>
  <si>
    <t>TOTAL DO ÓRGÃO -----------------------------------------------------------------------------------------------------------------------------------------------------------------------------------------------------------------------------</t>
  </si>
  <si>
    <t>0050</t>
  </si>
  <si>
    <t>TOTAL DO ÓRGÃO-------------------------------------------------------------------------------------------------------------------------------------------------------------------------------------------------------------------------------</t>
  </si>
  <si>
    <t>0401 06 181 0148 2053</t>
  </si>
  <si>
    <t>FUNÇÃO 06 SEGURANÇA PÚBLICA</t>
  </si>
  <si>
    <t>SECRETARIA DE ADMINISTRAÇÃO E PLANEJAMENTO</t>
  </si>
  <si>
    <t>16</t>
  </si>
  <si>
    <t>SECRETARIA DE GESTÃO E RELAÇÕES INSTITUCIONAIS</t>
  </si>
  <si>
    <t>ÓRGÃO    17                         ENCARGOS ESPECIAIS</t>
  </si>
  <si>
    <t>ENCARGOS ESPECIAIS</t>
  </si>
  <si>
    <t xml:space="preserve">FUNÇÃO 28 ENCARGOS SOCIAIS </t>
  </si>
  <si>
    <t>08 243</t>
  </si>
  <si>
    <t>08 243 0146</t>
  </si>
  <si>
    <t>08 243 0139</t>
  </si>
  <si>
    <t xml:space="preserve">ASSISTÊNCIA SOCIAL </t>
  </si>
  <si>
    <t xml:space="preserve">Assistência a Criança e ao Adolescente </t>
  </si>
  <si>
    <t xml:space="preserve">Apoio a Criança e ao Adolescente </t>
  </si>
  <si>
    <t xml:space="preserve">Gestão e Manutenção </t>
  </si>
  <si>
    <t>08 244</t>
  </si>
  <si>
    <t>Assistência Comunitária</t>
  </si>
  <si>
    <t>08 244 0011</t>
  </si>
  <si>
    <t>08 244 0029</t>
  </si>
  <si>
    <t>Assistência Social Geral</t>
  </si>
  <si>
    <t>08 244 0144</t>
  </si>
  <si>
    <t xml:space="preserve">Promoção da Cidadania </t>
  </si>
  <si>
    <t>1101 08 244 0011 2041 319013</t>
  </si>
  <si>
    <t>1101 08 244 0011 2041 319113</t>
  </si>
  <si>
    <t>1108 08 422 0144 2097</t>
  </si>
  <si>
    <t>1101 08 244 0156 2092</t>
  </si>
  <si>
    <t>1101 08 244 0156 2092 339030</t>
  </si>
  <si>
    <t>1101 08 244 0156 2092 339036</t>
  </si>
  <si>
    <t>1101 08 244 0156 2092 339039</t>
  </si>
  <si>
    <t>1101 08 244 0156 2092 449051</t>
  </si>
  <si>
    <t xml:space="preserve">1101 08 244 0156 2092 449050 </t>
  </si>
  <si>
    <t>1108 08 244 0157 2093</t>
  </si>
  <si>
    <t>1108 08 244 0157 2093 339030</t>
  </si>
  <si>
    <t>1108 08 244 0157 2093 339039</t>
  </si>
  <si>
    <t>1108 08 244 0157 2093 449052</t>
  </si>
  <si>
    <t xml:space="preserve">1108 08 244 0157 2051 </t>
  </si>
  <si>
    <t>1108 08 244 0157 2051 339030</t>
  </si>
  <si>
    <t>1108 08 244 0157 2051 339039</t>
  </si>
  <si>
    <t>1108 08 244 0158 2094</t>
  </si>
  <si>
    <t>1108 08 244 0158 2094 339030</t>
  </si>
  <si>
    <t>1108 08 244 0158 2094 339039</t>
  </si>
  <si>
    <t>1108 08 244 0158 2094 449052</t>
  </si>
  <si>
    <t xml:space="preserve">1108 08 244 0159 2095 </t>
  </si>
  <si>
    <t>1108 08 244 0159 2095 339030</t>
  </si>
  <si>
    <t>1108 08 244 0159 2095 339036</t>
  </si>
  <si>
    <t>1108 08 244 0159 2095 339039</t>
  </si>
  <si>
    <t>1108 08 244 0160 2096</t>
  </si>
  <si>
    <t>1108 08 244 0160 2096 339030</t>
  </si>
  <si>
    <t>1108 08 244 0160 2096 339036</t>
  </si>
  <si>
    <t>1108 08 244 0160 2096 339039</t>
  </si>
  <si>
    <t>08 244 0156</t>
  </si>
  <si>
    <t>08 244 0157</t>
  </si>
  <si>
    <t>08 244 0158</t>
  </si>
  <si>
    <t>08 244 0159</t>
  </si>
  <si>
    <t>08 244 0160</t>
  </si>
  <si>
    <t xml:space="preserve">Proteção Média Complexidade </t>
  </si>
  <si>
    <t xml:space="preserve">Proteção de Alta Complexidade </t>
  </si>
  <si>
    <t>08 422</t>
  </si>
  <si>
    <t>Direitos Individuais, Coletivos e Difusos</t>
  </si>
  <si>
    <t>08 422 0144</t>
  </si>
  <si>
    <t>16 482</t>
  </si>
  <si>
    <t>16 482 0145</t>
  </si>
  <si>
    <t>HABITAÇÃO</t>
  </si>
  <si>
    <t>Habitação Urbana</t>
  </si>
  <si>
    <t xml:space="preserve">Programa Habitacional </t>
  </si>
  <si>
    <t>0805 10 301 0161 2089</t>
  </si>
  <si>
    <t>0805 10 301 0161 2089 339030</t>
  </si>
  <si>
    <t>0805 10 301 0161 2089 339039</t>
  </si>
  <si>
    <t>0806 10 301 0162 2090</t>
  </si>
  <si>
    <t>0806 10 301 0162 2090 319011</t>
  </si>
  <si>
    <t>0806 10 301 0162 2090 319013</t>
  </si>
  <si>
    <t>0806 10 301 0162 2090 319113</t>
  </si>
  <si>
    <t>0806 10 301 0162 2090 339030</t>
  </si>
  <si>
    <t>0806 10 301 0162 2090 339039</t>
  </si>
  <si>
    <t xml:space="preserve">0807 10 301 0163 2091 </t>
  </si>
  <si>
    <t>0807 10 301 0163 2091 339030</t>
  </si>
  <si>
    <t>0807 10 301 0163 2091 339039</t>
  </si>
  <si>
    <t>10 301 0029</t>
  </si>
  <si>
    <t>Manutenção de Veículos</t>
  </si>
  <si>
    <t>Manutenção PIM</t>
  </si>
  <si>
    <t>10 301 0161</t>
  </si>
  <si>
    <t>Manutenção Academia de Saúde</t>
  </si>
  <si>
    <t>10 301 0162</t>
  </si>
  <si>
    <t>10 301 0163</t>
  </si>
  <si>
    <t>Assistência Hospitalar e Ambulatorial</t>
  </si>
  <si>
    <t>12</t>
  </si>
  <si>
    <t>EDUCAÇÃO</t>
  </si>
  <si>
    <t>12 361</t>
  </si>
  <si>
    <t>Ensino Fundamental</t>
  </si>
  <si>
    <t>12 361 0006</t>
  </si>
  <si>
    <t xml:space="preserve">Gestão e Manutenção Secretaria de Educação e Cultura </t>
  </si>
  <si>
    <t>12 361 0111</t>
  </si>
  <si>
    <t>12 361 0112</t>
  </si>
  <si>
    <t xml:space="preserve">Ações Culturais Dentros das Escolas </t>
  </si>
  <si>
    <t>12 361 0114</t>
  </si>
  <si>
    <t xml:space="preserve">Transporte Escolar </t>
  </si>
  <si>
    <t>12 361 0115</t>
  </si>
  <si>
    <t xml:space="preserve">Merenda Escolar </t>
  </si>
  <si>
    <t>12 364</t>
  </si>
  <si>
    <t>12 364 0116</t>
  </si>
  <si>
    <t>Ensino Superior</t>
  </si>
  <si>
    <t xml:space="preserve">Ensino tecnico e Superior </t>
  </si>
  <si>
    <t>12 365</t>
  </si>
  <si>
    <t>12 365 0110</t>
  </si>
  <si>
    <t>Educação Infantil</t>
  </si>
  <si>
    <t>13</t>
  </si>
  <si>
    <t>13 392</t>
  </si>
  <si>
    <t>13 392 0117</t>
  </si>
  <si>
    <t xml:space="preserve">Desenvolvimento Cultural </t>
  </si>
  <si>
    <t>CULTURA</t>
  </si>
  <si>
    <t>Difusão Cultural</t>
  </si>
  <si>
    <t>15</t>
  </si>
  <si>
    <t>URBANISMO</t>
  </si>
  <si>
    <t>15 452</t>
  </si>
  <si>
    <t>15 451</t>
  </si>
  <si>
    <t xml:space="preserve">Infra-Estrutura Urbana </t>
  </si>
  <si>
    <t>15 452 0118</t>
  </si>
  <si>
    <t>15 452 0119</t>
  </si>
  <si>
    <t xml:space="preserve">Serviços Urbanos </t>
  </si>
  <si>
    <t xml:space="preserve">Serviço Limpeza Pública </t>
  </si>
  <si>
    <t>Serviço de Iluminação Pública</t>
  </si>
  <si>
    <t>SANEAMENTO</t>
  </si>
  <si>
    <t>17 512</t>
  </si>
  <si>
    <t xml:space="preserve">17 512 0123 </t>
  </si>
  <si>
    <t>Saneamento Básico Urbano</t>
  </si>
  <si>
    <t xml:space="preserve">Politíca Municipal de Saneamento </t>
  </si>
  <si>
    <t>15 451 0136</t>
  </si>
  <si>
    <t>Praças, Lagos e Jardins</t>
  </si>
  <si>
    <t>18</t>
  </si>
  <si>
    <t>GESTÃO AMBIENTAL</t>
  </si>
  <si>
    <t>18 541</t>
  </si>
  <si>
    <t>18 541 0010</t>
  </si>
  <si>
    <t>Prevenção e Conservação Ambiental</t>
  </si>
  <si>
    <t>Gestão e Manutenção Secretaria de Meio Ambiente</t>
  </si>
  <si>
    <t>AGRICULTURA</t>
  </si>
  <si>
    <t xml:space="preserve">20 606 </t>
  </si>
  <si>
    <t>Extensão Rural</t>
  </si>
  <si>
    <t>20 606 0151</t>
  </si>
  <si>
    <t>Apoio a Agricultura e Pesca</t>
  </si>
  <si>
    <t>04 123</t>
  </si>
  <si>
    <t>04 123 0104</t>
  </si>
  <si>
    <t xml:space="preserve">Administrração Financeira </t>
  </si>
  <si>
    <t>Pagamento de Precatórios</t>
  </si>
  <si>
    <t>23</t>
  </si>
  <si>
    <t>COMÉRCIO E SERVIÇOS</t>
  </si>
  <si>
    <t>23 695</t>
  </si>
  <si>
    <t>Turismo</t>
  </si>
  <si>
    <t>23 695 0009</t>
  </si>
  <si>
    <t>Gestão e Manutenção Secretaria de Turismo</t>
  </si>
  <si>
    <t>23 695 0132</t>
  </si>
  <si>
    <t>Infra-Estrutura Turistica</t>
  </si>
  <si>
    <t>23 695 0134</t>
  </si>
  <si>
    <t>Realização de Eventos</t>
  </si>
  <si>
    <t xml:space="preserve">23 691 </t>
  </si>
  <si>
    <t>23 691 0149</t>
  </si>
  <si>
    <t>Promoção Comercial</t>
  </si>
  <si>
    <t>Incentivo a Industria e Comercio</t>
  </si>
  <si>
    <t>26</t>
  </si>
  <si>
    <t>TRANSPORTE</t>
  </si>
  <si>
    <t>26 782</t>
  </si>
  <si>
    <t>Transporte Rodoviário</t>
  </si>
  <si>
    <t>26 782 0121</t>
  </si>
  <si>
    <t xml:space="preserve">Trânsito e Transporte </t>
  </si>
  <si>
    <t>26 782 0122</t>
  </si>
  <si>
    <t>27</t>
  </si>
  <si>
    <t>DESPORTO E LAZER</t>
  </si>
  <si>
    <t>27 812</t>
  </si>
  <si>
    <t>Desporto Comunitário</t>
  </si>
  <si>
    <t>27 812 0152</t>
  </si>
  <si>
    <t>Esporte no Verão</t>
  </si>
  <si>
    <t>27 812 0153</t>
  </si>
  <si>
    <t>Esporte para todos</t>
  </si>
  <si>
    <t>28</t>
  </si>
  <si>
    <t xml:space="preserve">ENCARGOS ESPECIAIS </t>
  </si>
  <si>
    <t>28 846</t>
  </si>
  <si>
    <t xml:space="preserve">Outros Encargos Especiais </t>
  </si>
  <si>
    <t>28 846 0017</t>
  </si>
  <si>
    <t xml:space="preserve">Encargos Especiais </t>
  </si>
  <si>
    <t>99</t>
  </si>
  <si>
    <t>99 999</t>
  </si>
  <si>
    <t>99 999 9999</t>
  </si>
  <si>
    <t>RESERVA DE CONTINGENCIA</t>
  </si>
  <si>
    <t>FUNÇÃO 14 DIREITOS DA CIDADANIA</t>
  </si>
  <si>
    <t>Procuradoria Geral do Município</t>
  </si>
  <si>
    <t>14</t>
  </si>
  <si>
    <t>14 422</t>
  </si>
  <si>
    <t>14 422 0102</t>
  </si>
  <si>
    <t>Regularização Cadastral</t>
  </si>
  <si>
    <t>DIREITOS DA CIDADANIA</t>
  </si>
  <si>
    <t>TOTAL --------------------------------------------------------------------------------------------------------------------------------------------------------------------------------</t>
  </si>
  <si>
    <t>TOTAL ---------------------------------------------------------------------------------------------------------------------------------------------------------------------------------------------------------------------------------------------------</t>
  </si>
  <si>
    <t>IPTU</t>
  </si>
  <si>
    <t>Desconto</t>
  </si>
  <si>
    <t>dividas ativas</t>
  </si>
  <si>
    <t>REFIS</t>
  </si>
  <si>
    <t>Vínculado e Outros</t>
  </si>
  <si>
    <t xml:space="preserve">Vínculado e Outros </t>
  </si>
  <si>
    <t xml:space="preserve">Ordinário </t>
  </si>
  <si>
    <t>Vinculado e Outros</t>
  </si>
  <si>
    <t>Vinculados e Outros</t>
  </si>
  <si>
    <t xml:space="preserve">Vinculados e Outros </t>
  </si>
  <si>
    <t>Orindário</t>
  </si>
  <si>
    <t>TOTAL ---------------------------------------------------------------------------------------------------------------------------------------------------------------------------------------</t>
  </si>
  <si>
    <t>Vide Observação</t>
  </si>
  <si>
    <t>Outros Serviços de terceiros</t>
  </si>
  <si>
    <t>1701 28 846 0017 2098 319047</t>
  </si>
  <si>
    <t>Pagamento de Dividas com encargos sociais</t>
  </si>
  <si>
    <t>4760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</si>
</sst>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[$-416]dddd\,\ d&quot; de &quot;mmmm&quot; de &quot;yyyy"/>
    <numFmt numFmtId="205" formatCode="00000"/>
    <numFmt numFmtId="206" formatCode="0&quot;.&quot;0&quot;.&quot;0&quot;.&quot;0&quot;.&quot;00&quot;.&quot;0&quot;.&quot;0"/>
    <numFmt numFmtId="207" formatCode="#,##0.00_ ;\-#,##0.00\ "/>
    <numFmt numFmtId="208" formatCode="_(* #,##0_);_(* \(#,##0\);_(* &quot;-&quot;??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[$€-2]\ #,##0.00_);[Red]\([$€-2]\ #,##0.00\)"/>
    <numFmt numFmtId="213" formatCode="&quot;Ativado&quot;;&quot;Ativado&quot;;&quot;Desativado&quot;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Wingdings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0"/>
      <name val="Helv"/>
      <family val="0"/>
    </font>
    <font>
      <u val="single"/>
      <vertAlign val="superscript"/>
      <sz val="11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>
        <color indexed="63"/>
      </left>
      <right style="medium"/>
      <top style="thin"/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68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left"/>
      <protection locked="0"/>
    </xf>
    <xf numFmtId="38" fontId="19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 vertical="center"/>
      <protection locked="0"/>
    </xf>
    <xf numFmtId="38" fontId="19" fillId="0" borderId="0" xfId="0" applyNumberFormat="1" applyFont="1" applyAlignment="1" applyProtection="1">
      <alignment/>
      <protection locked="0"/>
    </xf>
    <xf numFmtId="190" fontId="10" fillId="34" borderId="10" xfId="0" applyNumberFormat="1" applyFont="1" applyFill="1" applyBorder="1" applyAlignment="1" applyProtection="1">
      <alignment horizontal="center"/>
      <protection locked="0"/>
    </xf>
    <xf numFmtId="190" fontId="10" fillId="34" borderId="11" xfId="0" applyNumberFormat="1" applyFont="1" applyFill="1" applyBorder="1" applyAlignment="1" applyProtection="1">
      <alignment horizontal="center"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38" fontId="10" fillId="0" borderId="11" xfId="0" applyNumberFormat="1" applyFont="1" applyBorder="1" applyAlignment="1" applyProtection="1">
      <alignment/>
      <protection locked="0"/>
    </xf>
    <xf numFmtId="38" fontId="10" fillId="33" borderId="11" xfId="0" applyNumberFormat="1" applyFont="1" applyFill="1" applyBorder="1" applyAlignment="1" applyProtection="1">
      <alignment/>
      <protection locked="0"/>
    </xf>
    <xf numFmtId="38" fontId="10" fillId="0" borderId="12" xfId="0" applyNumberFormat="1" applyFont="1" applyBorder="1" applyAlignment="1" applyProtection="1">
      <alignment/>
      <protection locked="0"/>
    </xf>
    <xf numFmtId="38" fontId="10" fillId="33" borderId="13" xfId="0" applyNumberFormat="1" applyFont="1" applyFill="1" applyBorder="1" applyAlignment="1" applyProtection="1">
      <alignment/>
      <protection locked="0"/>
    </xf>
    <xf numFmtId="38" fontId="1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Border="1" applyAlignment="1">
      <alignment/>
    </xf>
    <xf numFmtId="4" fontId="20" fillId="33" borderId="0" xfId="51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177" fontId="2" fillId="0" borderId="1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16" xfId="0" applyFont="1" applyBorder="1" applyAlignment="1">
      <alignment horizontal="left"/>
    </xf>
    <xf numFmtId="177" fontId="17" fillId="0" borderId="15" xfId="0" applyNumberFormat="1" applyFont="1" applyFill="1" applyBorder="1" applyAlignment="1" applyProtection="1">
      <alignment vertical="top" wrapText="1"/>
      <protection locked="0"/>
    </xf>
    <xf numFmtId="177" fontId="17" fillId="0" borderId="17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Alignment="1">
      <alignment/>
    </xf>
    <xf numFmtId="4" fontId="6" fillId="33" borderId="0" xfId="51" applyNumberFormat="1" applyFont="1" applyFill="1" applyBorder="1" applyAlignment="1">
      <alignment/>
    </xf>
    <xf numFmtId="4" fontId="17" fillId="33" borderId="0" xfId="51" applyNumberFormat="1" applyFont="1" applyFill="1" applyBorder="1" applyAlignment="1">
      <alignment/>
    </xf>
    <xf numFmtId="0" fontId="6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7" fillId="0" borderId="18" xfId="0" applyFont="1" applyFill="1" applyBorder="1" applyAlignment="1">
      <alignment vertical="top" wrapText="1"/>
    </xf>
    <xf numFmtId="173" fontId="17" fillId="0" borderId="18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177" fontId="2" fillId="0" borderId="15" xfId="0" applyNumberFormat="1" applyFont="1" applyFill="1" applyBorder="1" applyAlignment="1" applyProtection="1">
      <alignment wrapText="1"/>
      <protection locked="0"/>
    </xf>
    <xf numFmtId="177" fontId="2" fillId="0" borderId="17" xfId="0" applyNumberFormat="1" applyFont="1" applyFill="1" applyBorder="1" applyAlignment="1" applyProtection="1">
      <alignment wrapText="1"/>
      <protection locked="0"/>
    </xf>
    <xf numFmtId="177" fontId="17" fillId="0" borderId="19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Border="1" applyAlignment="1">
      <alignment/>
    </xf>
    <xf numFmtId="177" fontId="17" fillId="0" borderId="19" xfId="0" applyNumberFormat="1" applyFont="1" applyBorder="1" applyAlignment="1">
      <alignment/>
    </xf>
    <xf numFmtId="10" fontId="0" fillId="0" borderId="19" xfId="0" applyNumberFormat="1" applyFont="1" applyFill="1" applyBorder="1" applyAlignment="1" applyProtection="1">
      <alignment horizontal="center"/>
      <protection/>
    </xf>
    <xf numFmtId="10" fontId="0" fillId="0" borderId="19" xfId="0" applyNumberFormat="1" applyFont="1" applyFill="1" applyBorder="1" applyAlignment="1" applyProtection="1">
      <alignment horizontal="center"/>
      <protection locked="0"/>
    </xf>
    <xf numFmtId="0" fontId="17" fillId="0" borderId="19" xfId="0" applyFont="1" applyBorder="1" applyAlignment="1">
      <alignment/>
    </xf>
    <xf numFmtId="0" fontId="21" fillId="35" borderId="20" xfId="0" applyFont="1" applyFill="1" applyBorder="1" applyAlignment="1">
      <alignment horizontal="center" vertical="top" wrapText="1"/>
    </xf>
    <xf numFmtId="0" fontId="21" fillId="35" borderId="21" xfId="0" applyFont="1" applyFill="1" applyBorder="1" applyAlignment="1">
      <alignment horizontal="center" vertical="top" wrapText="1"/>
    </xf>
    <xf numFmtId="0" fontId="21" fillId="35" borderId="22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vertical="top" wrapText="1"/>
    </xf>
    <xf numFmtId="0" fontId="15" fillId="0" borderId="0" xfId="0" applyFont="1" applyAlignment="1">
      <alignment/>
    </xf>
    <xf numFmtId="0" fontId="0" fillId="0" borderId="22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 applyProtection="1">
      <alignment/>
      <protection locked="0"/>
    </xf>
    <xf numFmtId="0" fontId="29" fillId="0" borderId="0" xfId="0" applyFont="1" applyFill="1" applyAlignment="1">
      <alignment/>
    </xf>
    <xf numFmtId="177" fontId="2" fillId="0" borderId="19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4" fontId="10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0" fontId="1" fillId="34" borderId="10" xfId="0" applyNumberFormat="1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9" fillId="36" borderId="17" xfId="0" applyFont="1" applyFill="1" applyBorder="1" applyAlignment="1">
      <alignment/>
    </xf>
    <xf numFmtId="177" fontId="9" fillId="36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3" fontId="0" fillId="0" borderId="15" xfId="0" applyNumberFormat="1" applyFont="1" applyFill="1" applyBorder="1" applyAlignment="1">
      <alignment horizontal="right" wrapText="1"/>
    </xf>
    <xf numFmtId="43" fontId="0" fillId="0" borderId="15" xfId="0" applyNumberFormat="1" applyFont="1" applyFill="1" applyBorder="1" applyAlignment="1" applyProtection="1">
      <alignment horizontal="right"/>
      <protection locked="0"/>
    </xf>
    <xf numFmtId="43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justify" vertical="top" wrapText="1"/>
    </xf>
    <xf numFmtId="0" fontId="17" fillId="0" borderId="18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173" fontId="17" fillId="0" borderId="18" xfId="0" applyNumberFormat="1" applyFont="1" applyBorder="1" applyAlignment="1">
      <alignment horizontal="right" wrapText="1"/>
    </xf>
    <xf numFmtId="0" fontId="17" fillId="0" borderId="17" xfId="0" applyFont="1" applyBorder="1" applyAlignment="1">
      <alignment horizontal="center" vertical="center" wrapText="1"/>
    </xf>
    <xf numFmtId="0" fontId="5" fillId="36" borderId="16" xfId="0" applyNumberFormat="1" applyFont="1" applyFill="1" applyBorder="1" applyAlignment="1" applyProtection="1">
      <alignment horizontal="center" vertical="center"/>
      <protection locked="0"/>
    </xf>
    <xf numFmtId="190" fontId="5" fillId="36" borderId="23" xfId="0" applyNumberFormat="1" applyFont="1" applyFill="1" applyBorder="1" applyAlignment="1">
      <alignment horizontal="center" vertical="center"/>
    </xf>
    <xf numFmtId="190" fontId="38" fillId="36" borderId="24" xfId="0" applyNumberFormat="1" applyFont="1" applyFill="1" applyBorder="1" applyAlignment="1" applyProtection="1">
      <alignment horizontal="center"/>
      <protection locked="0"/>
    </xf>
    <xf numFmtId="190" fontId="38" fillId="36" borderId="25" xfId="0" applyNumberFormat="1" applyFont="1" applyFill="1" applyBorder="1" applyAlignment="1" applyProtection="1">
      <alignment horizontal="center"/>
      <protection locked="0"/>
    </xf>
    <xf numFmtId="190" fontId="38" fillId="36" borderId="26" xfId="0" applyNumberFormat="1" applyFont="1" applyFill="1" applyBorder="1" applyAlignment="1" applyProtection="1">
      <alignment horizontal="center"/>
      <protection locked="0"/>
    </xf>
    <xf numFmtId="190" fontId="38" fillId="36" borderId="27" xfId="0" applyNumberFormat="1" applyFont="1" applyFill="1" applyBorder="1" applyAlignment="1" applyProtection="1">
      <alignment horizontal="center"/>
      <protection locked="0"/>
    </xf>
    <xf numFmtId="0" fontId="5" fillId="36" borderId="0" xfId="0" applyNumberFormat="1" applyFont="1" applyFill="1" applyBorder="1" applyAlignment="1" applyProtection="1">
      <alignment horizontal="center" vertical="center"/>
      <protection locked="0"/>
    </xf>
    <xf numFmtId="189" fontId="5" fillId="36" borderId="28" xfId="46" applyFont="1" applyFill="1" applyBorder="1" applyAlignment="1">
      <alignment horizontal="center" vertical="center"/>
    </xf>
    <xf numFmtId="190" fontId="5" fillId="36" borderId="10" xfId="0" applyNumberFormat="1" applyFont="1" applyFill="1" applyBorder="1" applyAlignment="1">
      <alignment horizontal="center" vertical="center"/>
    </xf>
    <xf numFmtId="190" fontId="5" fillId="36" borderId="11" xfId="0" applyNumberFormat="1" applyFont="1" applyFill="1" applyBorder="1" applyAlignment="1">
      <alignment horizontal="center" vertical="center"/>
    </xf>
    <xf numFmtId="0" fontId="5" fillId="36" borderId="29" xfId="49" applyFont="1" applyFill="1" applyBorder="1" applyAlignment="1">
      <alignment vertical="center"/>
      <protection/>
    </xf>
    <xf numFmtId="0" fontId="5" fillId="36" borderId="29" xfId="49" applyNumberFormat="1" applyFont="1" applyFill="1" applyBorder="1" applyAlignment="1">
      <alignment vertical="center" wrapText="1"/>
      <protection/>
    </xf>
    <xf numFmtId="43" fontId="38" fillId="36" borderId="10" xfId="0" applyNumberFormat="1" applyFont="1" applyFill="1" applyBorder="1" applyAlignment="1" applyProtection="1">
      <alignment horizontal="right"/>
      <protection locked="0"/>
    </xf>
    <xf numFmtId="0" fontId="5" fillId="36" borderId="19" xfId="49" applyFont="1" applyFill="1" applyBorder="1" applyAlignment="1">
      <alignment vertical="center"/>
      <protection/>
    </xf>
    <xf numFmtId="0" fontId="5" fillId="36" borderId="19" xfId="49" applyNumberFormat="1" applyFont="1" applyFill="1" applyBorder="1" applyAlignment="1">
      <alignment vertical="center" wrapText="1"/>
      <protection/>
    </xf>
    <xf numFmtId="43" fontId="5" fillId="36" borderId="19" xfId="0" applyNumberFormat="1" applyFont="1" applyFill="1" applyBorder="1" applyAlignment="1">
      <alignment/>
    </xf>
    <xf numFmtId="0" fontId="0" fillId="36" borderId="19" xfId="49" applyFont="1" applyFill="1" applyBorder="1" applyAlignment="1">
      <alignment vertical="center"/>
      <protection/>
    </xf>
    <xf numFmtId="0" fontId="0" fillId="36" borderId="19" xfId="49" applyNumberFormat="1" applyFont="1" applyFill="1" applyBorder="1" applyAlignment="1">
      <alignment vertical="center" wrapText="1"/>
      <protection/>
    </xf>
    <xf numFmtId="43" fontId="0" fillId="36" borderId="19" xfId="0" applyNumberFormat="1" applyFont="1" applyFill="1" applyBorder="1" applyAlignment="1">
      <alignment/>
    </xf>
    <xf numFmtId="206" fontId="0" fillId="36" borderId="19" xfId="49" applyNumberFormat="1" applyFont="1" applyFill="1" applyBorder="1" applyAlignment="1">
      <alignment vertical="center" wrapText="1"/>
      <protection/>
    </xf>
    <xf numFmtId="0" fontId="0" fillId="36" borderId="30" xfId="49" applyFont="1" applyFill="1" applyBorder="1" applyAlignment="1">
      <alignment vertical="center"/>
      <protection/>
    </xf>
    <xf numFmtId="177" fontId="0" fillId="36" borderId="19" xfId="0" applyNumberFormat="1" applyFont="1" applyFill="1" applyBorder="1" applyAlignment="1">
      <alignment/>
    </xf>
    <xf numFmtId="177" fontId="5" fillId="36" borderId="19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177" fontId="1" fillId="36" borderId="19" xfId="0" applyNumberFormat="1" applyFont="1" applyFill="1" applyBorder="1" applyAlignment="1">
      <alignment/>
    </xf>
    <xf numFmtId="0" fontId="10" fillId="36" borderId="16" xfId="0" applyNumberFormat="1" applyFont="1" applyFill="1" applyBorder="1" applyAlignment="1" applyProtection="1">
      <alignment horizontal="center" vertical="center"/>
      <protection locked="0"/>
    </xf>
    <xf numFmtId="190" fontId="1" fillId="36" borderId="23" xfId="0" applyNumberFormat="1" applyFont="1" applyFill="1" applyBorder="1" applyAlignment="1">
      <alignment horizontal="center" vertical="center"/>
    </xf>
    <xf numFmtId="190" fontId="10" fillId="36" borderId="24" xfId="0" applyNumberFormat="1" applyFont="1" applyFill="1" applyBorder="1" applyAlignment="1" applyProtection="1">
      <alignment horizontal="center"/>
      <protection locked="0"/>
    </xf>
    <xf numFmtId="190" fontId="10" fillId="36" borderId="25" xfId="0" applyNumberFormat="1" applyFont="1" applyFill="1" applyBorder="1" applyAlignment="1" applyProtection="1">
      <alignment horizontal="center"/>
      <protection locked="0"/>
    </xf>
    <xf numFmtId="190" fontId="10" fillId="36" borderId="26" xfId="0" applyNumberFormat="1" applyFont="1" applyFill="1" applyBorder="1" applyAlignment="1" applyProtection="1">
      <alignment horizontal="center"/>
      <protection locked="0"/>
    </xf>
    <xf numFmtId="190" fontId="10" fillId="36" borderId="27" xfId="0" applyNumberFormat="1" applyFont="1" applyFill="1" applyBorder="1" applyAlignment="1" applyProtection="1">
      <alignment horizontal="center"/>
      <protection locked="0"/>
    </xf>
    <xf numFmtId="0" fontId="10" fillId="36" borderId="0" xfId="0" applyNumberFormat="1" applyFont="1" applyFill="1" applyBorder="1" applyAlignment="1" applyProtection="1">
      <alignment horizontal="center" vertical="center"/>
      <protection locked="0"/>
    </xf>
    <xf numFmtId="189" fontId="1" fillId="36" borderId="28" xfId="46" applyFont="1" applyFill="1" applyBorder="1" applyAlignment="1">
      <alignment horizontal="center" vertical="center"/>
    </xf>
    <xf numFmtId="190" fontId="1" fillId="36" borderId="10" xfId="0" applyNumberFormat="1" applyFont="1" applyFill="1" applyBorder="1" applyAlignment="1">
      <alignment horizontal="center" vertical="center"/>
    </xf>
    <xf numFmtId="190" fontId="1" fillId="36" borderId="11" xfId="0" applyNumberFormat="1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177" fontId="2" fillId="36" borderId="19" xfId="0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177" fontId="2" fillId="37" borderId="19" xfId="0" applyNumberFormat="1" applyFont="1" applyFill="1" applyBorder="1" applyAlignment="1">
      <alignment/>
    </xf>
    <xf numFmtId="0" fontId="5" fillId="36" borderId="19" xfId="0" applyFont="1" applyFill="1" applyBorder="1" applyAlignment="1">
      <alignment horizontal="center"/>
    </xf>
    <xf numFmtId="0" fontId="5" fillId="38" borderId="19" xfId="0" applyFont="1" applyFill="1" applyBorder="1" applyAlignment="1" applyProtection="1">
      <alignment/>
      <protection locked="0"/>
    </xf>
    <xf numFmtId="10" fontId="0" fillId="36" borderId="19" xfId="0" applyNumberFormat="1" applyFont="1" applyFill="1" applyBorder="1" applyAlignment="1" applyProtection="1">
      <alignment horizontal="right"/>
      <protection locked="0"/>
    </xf>
    <xf numFmtId="10" fontId="0" fillId="36" borderId="19" xfId="0" applyNumberFormat="1" applyFont="1" applyFill="1" applyBorder="1" applyAlignment="1" applyProtection="1">
      <alignment horizontal="center"/>
      <protection/>
    </xf>
    <xf numFmtId="0" fontId="5" fillId="38" borderId="19" xfId="0" applyFont="1" applyFill="1" applyBorder="1" applyAlignment="1">
      <alignment/>
    </xf>
    <xf numFmtId="10" fontId="0" fillId="36" borderId="19" xfId="0" applyNumberFormat="1" applyFont="1" applyFill="1" applyBorder="1" applyAlignment="1">
      <alignment/>
    </xf>
    <xf numFmtId="0" fontId="5" fillId="39" borderId="19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175" fontId="0" fillId="36" borderId="19" xfId="0" applyNumberFormat="1" applyFont="1" applyFill="1" applyBorder="1" applyAlignment="1" applyProtection="1">
      <alignment horizontal="center"/>
      <protection locked="0"/>
    </xf>
    <xf numFmtId="175" fontId="0" fillId="36" borderId="19" xfId="0" applyNumberFormat="1" applyFont="1" applyFill="1" applyBorder="1" applyAlignment="1" applyProtection="1">
      <alignment horizontal="center"/>
      <protection/>
    </xf>
    <xf numFmtId="3" fontId="6" fillId="36" borderId="19" xfId="0" applyNumberFormat="1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9" xfId="0" applyFont="1" applyFill="1" applyBorder="1" applyAlignment="1">
      <alignment/>
    </xf>
    <xf numFmtId="177" fontId="6" fillId="36" borderId="19" xfId="0" applyNumberFormat="1" applyFont="1" applyFill="1" applyBorder="1" applyAlignment="1">
      <alignment/>
    </xf>
    <xf numFmtId="0" fontId="17" fillId="36" borderId="19" xfId="0" applyFont="1" applyFill="1" applyBorder="1" applyAlignment="1">
      <alignment/>
    </xf>
    <xf numFmtId="177" fontId="17" fillId="36" borderId="19" xfId="0" applyNumberFormat="1" applyFont="1" applyFill="1" applyBorder="1" applyAlignment="1">
      <alignment/>
    </xf>
    <xf numFmtId="177" fontId="17" fillId="0" borderId="33" xfId="0" applyNumberFormat="1" applyFont="1" applyFill="1" applyBorder="1" applyAlignment="1" applyProtection="1">
      <alignment vertical="top" wrapText="1"/>
      <protection locked="0"/>
    </xf>
    <xf numFmtId="177" fontId="17" fillId="0" borderId="29" xfId="0" applyNumberFormat="1" applyFont="1" applyFill="1" applyBorder="1" applyAlignment="1" applyProtection="1">
      <alignment vertical="top" wrapText="1"/>
      <protection locked="0"/>
    </xf>
    <xf numFmtId="177" fontId="17" fillId="0" borderId="33" xfId="0" applyNumberFormat="1" applyFont="1" applyFill="1" applyBorder="1" applyAlignment="1">
      <alignment horizontal="right" vertical="center" wrapText="1"/>
    </xf>
    <xf numFmtId="0" fontId="0" fillId="36" borderId="19" xfId="0" applyFont="1" applyFill="1" applyBorder="1" applyAlignment="1">
      <alignment horizontal="center" wrapText="1"/>
    </xf>
    <xf numFmtId="43" fontId="0" fillId="36" borderId="22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wrapText="1"/>
    </xf>
    <xf numFmtId="43" fontId="0" fillId="0" borderId="22" xfId="0" applyNumberFormat="1" applyFont="1" applyFill="1" applyBorder="1" applyAlignment="1">
      <alignment wrapText="1"/>
    </xf>
    <xf numFmtId="10" fontId="0" fillId="0" borderId="22" xfId="0" applyNumberFormat="1" applyFont="1" applyFill="1" applyBorder="1" applyAlignment="1">
      <alignment horizontal="center" wrapText="1"/>
    </xf>
    <xf numFmtId="43" fontId="0" fillId="0" borderId="22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43" fontId="0" fillId="0" borderId="22" xfId="0" applyNumberFormat="1" applyFont="1" applyFill="1" applyBorder="1" applyAlignment="1">
      <alignment horizontal="right" wrapText="1"/>
    </xf>
    <xf numFmtId="17" fontId="0" fillId="0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8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177" fontId="0" fillId="0" borderId="15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173" fontId="17" fillId="0" borderId="18" xfId="0" applyNumberFormat="1" applyFont="1" applyFill="1" applyBorder="1" applyAlignment="1">
      <alignment horizontal="right" wrapText="1"/>
    </xf>
    <xf numFmtId="177" fontId="17" fillId="0" borderId="29" xfId="0" applyNumberFormat="1" applyFont="1" applyFill="1" applyBorder="1" applyAlignment="1">
      <alignment vertical="top" wrapText="1"/>
    </xf>
    <xf numFmtId="177" fontId="17" fillId="0" borderId="33" xfId="0" applyNumberFormat="1" applyFont="1" applyFill="1" applyBorder="1" applyAlignment="1">
      <alignment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177" fontId="6" fillId="34" borderId="0" xfId="0" applyNumberFormat="1" applyFont="1" applyFill="1" applyAlignment="1" applyProtection="1">
      <alignment vertical="top" wrapText="1"/>
      <protection locked="0"/>
    </xf>
    <xf numFmtId="0" fontId="17" fillId="0" borderId="15" xfId="0" applyFont="1" applyBorder="1" applyAlignment="1">
      <alignment vertical="top" wrapText="1"/>
    </xf>
    <xf numFmtId="177" fontId="17" fillId="0" borderId="0" xfId="0" applyNumberFormat="1" applyFont="1" applyAlignment="1" applyProtection="1">
      <alignment vertical="top" wrapText="1"/>
      <protection locked="0"/>
    </xf>
    <xf numFmtId="0" fontId="1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177" fontId="6" fillId="34" borderId="31" xfId="0" applyNumberFormat="1" applyFont="1" applyFill="1" applyBorder="1" applyAlignment="1" applyProtection="1">
      <alignment vertical="top" wrapText="1"/>
      <protection locked="0"/>
    </xf>
    <xf numFmtId="177" fontId="17" fillId="0" borderId="31" xfId="0" applyNumberFormat="1" applyFont="1" applyBorder="1" applyAlignment="1" applyProtection="1">
      <alignment vertical="top" wrapText="1"/>
      <protection locked="0"/>
    </xf>
    <xf numFmtId="177" fontId="6" fillId="34" borderId="31" xfId="0" applyNumberFormat="1" applyFont="1" applyFill="1" applyBorder="1" applyAlignment="1" applyProtection="1">
      <alignment horizontal="right" vertical="top" wrapText="1"/>
      <protection locked="0"/>
    </xf>
    <xf numFmtId="0" fontId="0" fillId="36" borderId="19" xfId="0" applyFont="1" applyFill="1" applyBorder="1" applyAlignment="1">
      <alignment wrapText="1"/>
    </xf>
    <xf numFmtId="203" fontId="0" fillId="36" borderId="19" xfId="0" applyNumberFormat="1" applyFont="1" applyFill="1" applyBorder="1" applyAlignment="1">
      <alignment wrapText="1"/>
    </xf>
    <xf numFmtId="10" fontId="0" fillId="36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36" borderId="19" xfId="0" applyFont="1" applyFill="1" applyBorder="1" applyAlignment="1">
      <alignment horizontal="center" vertical="top" wrapText="1"/>
    </xf>
    <xf numFmtId="43" fontId="0" fillId="36" borderId="19" xfId="0" applyNumberFormat="1" applyFont="1" applyFill="1" applyBorder="1" applyAlignment="1">
      <alignment wrapText="1"/>
    </xf>
    <xf numFmtId="177" fontId="17" fillId="40" borderId="19" xfId="0" applyNumberFormat="1" applyFont="1" applyFill="1" applyBorder="1" applyAlignment="1" applyProtection="1">
      <alignment/>
      <protection locked="0"/>
    </xf>
    <xf numFmtId="43" fontId="17" fillId="36" borderId="19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horizontal="center" vertical="center"/>
    </xf>
    <xf numFmtId="0" fontId="5" fillId="41" borderId="17" xfId="0" applyFont="1" applyFill="1" applyBorder="1" applyAlignment="1">
      <alignment vertical="center"/>
    </xf>
    <xf numFmtId="0" fontId="0" fillId="41" borderId="0" xfId="0" applyFont="1" applyFill="1" applyBorder="1" applyAlignment="1">
      <alignment/>
    </xf>
    <xf numFmtId="169" fontId="5" fillId="41" borderId="19" xfId="0" applyNumberFormat="1" applyFont="1" applyFill="1" applyBorder="1" applyAlignment="1">
      <alignment/>
    </xf>
    <xf numFmtId="169" fontId="5" fillId="41" borderId="19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indent="1"/>
    </xf>
    <xf numFmtId="169" fontId="0" fillId="41" borderId="19" xfId="0" applyNumberFormat="1" applyFont="1" applyFill="1" applyBorder="1" applyAlignment="1">
      <alignment wrapText="1"/>
    </xf>
    <xf numFmtId="0" fontId="0" fillId="41" borderId="0" xfId="0" applyFont="1" applyFill="1" applyAlignment="1">
      <alignment horizontal="left" indent="2"/>
    </xf>
    <xf numFmtId="0" fontId="0" fillId="41" borderId="0" xfId="0" applyFont="1" applyFill="1" applyAlignment="1">
      <alignment horizontal="left" indent="3"/>
    </xf>
    <xf numFmtId="0" fontId="0" fillId="41" borderId="0" xfId="0" applyFont="1" applyFill="1" applyAlignment="1">
      <alignment/>
    </xf>
    <xf numFmtId="0" fontId="5" fillId="41" borderId="0" xfId="0" applyFont="1" applyFill="1" applyAlignment="1">
      <alignment/>
    </xf>
    <xf numFmtId="169" fontId="5" fillId="41" borderId="19" xfId="0" applyNumberFormat="1" applyFont="1" applyFill="1" applyBorder="1" applyAlignment="1">
      <alignment wrapText="1"/>
    </xf>
    <xf numFmtId="0" fontId="5" fillId="41" borderId="0" xfId="0" applyFont="1" applyFill="1" applyAlignment="1">
      <alignment horizontal="center" vertical="center"/>
    </xf>
    <xf numFmtId="0" fontId="5" fillId="41" borderId="34" xfId="0" applyNumberFormat="1" applyFont="1" applyFill="1" applyBorder="1" applyAlignment="1">
      <alignment/>
    </xf>
    <xf numFmtId="169" fontId="0" fillId="41" borderId="34" xfId="0" applyNumberFormat="1" applyFont="1" applyFill="1" applyBorder="1" applyAlignment="1">
      <alignment wrapText="1"/>
    </xf>
    <xf numFmtId="169" fontId="0" fillId="41" borderId="30" xfId="0" applyNumberFormat="1" applyFont="1" applyFill="1" applyBorder="1" applyAlignment="1">
      <alignment wrapText="1"/>
    </xf>
    <xf numFmtId="0" fontId="0" fillId="41" borderId="0" xfId="0" applyNumberFormat="1" applyFont="1" applyFill="1" applyAlignment="1">
      <alignment/>
    </xf>
    <xf numFmtId="0" fontId="0" fillId="41" borderId="0" xfId="0" applyNumberFormat="1" applyFont="1" applyFill="1" applyBorder="1" applyAlignment="1">
      <alignment/>
    </xf>
    <xf numFmtId="37" fontId="5" fillId="41" borderId="30" xfId="0" applyNumberFormat="1" applyFont="1" applyFill="1" applyBorder="1" applyAlignment="1">
      <alignment vertical="center"/>
    </xf>
    <xf numFmtId="0" fontId="5" fillId="41" borderId="0" xfId="0" applyFont="1" applyFill="1" applyAlignment="1">
      <alignment vertical="center"/>
    </xf>
    <xf numFmtId="169" fontId="5" fillId="41" borderId="16" xfId="0" applyNumberFormat="1" applyFont="1" applyFill="1" applyBorder="1" applyAlignment="1">
      <alignment horizontal="center" vertical="center"/>
    </xf>
    <xf numFmtId="169" fontId="5" fillId="41" borderId="35" xfId="0" applyNumberFormat="1" applyFont="1" applyFill="1" applyBorder="1" applyAlignment="1">
      <alignment horizontal="center" vertical="center"/>
    </xf>
    <xf numFmtId="0" fontId="5" fillId="41" borderId="0" xfId="0" applyFont="1" applyFill="1" applyAlignment="1">
      <alignment/>
    </xf>
    <xf numFmtId="49" fontId="0" fillId="41" borderId="0" xfId="0" applyNumberFormat="1" applyFont="1" applyFill="1" applyAlignment="1">
      <alignment horizontal="left" vertical="center" indent="1"/>
    </xf>
    <xf numFmtId="169" fontId="0" fillId="41" borderId="0" xfId="0" applyNumberFormat="1" applyFont="1" applyFill="1" applyBorder="1" applyAlignment="1">
      <alignment horizontal="center" vertical="center"/>
    </xf>
    <xf numFmtId="169" fontId="0" fillId="41" borderId="15" xfId="0" applyNumberFormat="1" applyFont="1" applyFill="1" applyBorder="1" applyAlignment="1">
      <alignment horizontal="center" vertical="center"/>
    </xf>
    <xf numFmtId="49" fontId="5" fillId="41" borderId="0" xfId="0" applyNumberFormat="1" applyFont="1" applyFill="1" applyAlignment="1">
      <alignment vertical="center"/>
    </xf>
    <xf numFmtId="169" fontId="5" fillId="41" borderId="0" xfId="0" applyNumberFormat="1" applyFont="1" applyFill="1" applyBorder="1" applyAlignment="1">
      <alignment horizontal="center" vertical="center"/>
    </xf>
    <xf numFmtId="169" fontId="5" fillId="41" borderId="15" xfId="0" applyNumberFormat="1" applyFont="1" applyFill="1" applyBorder="1" applyAlignment="1">
      <alignment horizontal="center" vertical="center"/>
    </xf>
    <xf numFmtId="49" fontId="0" fillId="41" borderId="0" xfId="0" applyNumberFormat="1" applyFont="1" applyFill="1" applyAlignment="1">
      <alignment horizontal="left" vertical="center" indent="2"/>
    </xf>
    <xf numFmtId="169" fontId="0" fillId="41" borderId="31" xfId="0" applyNumberFormat="1" applyFont="1" applyFill="1" applyBorder="1" applyAlignment="1">
      <alignment horizontal="center" vertical="center"/>
    </xf>
    <xf numFmtId="169" fontId="0" fillId="41" borderId="17" xfId="0" applyNumberFormat="1" applyFont="1" applyFill="1" applyBorder="1" applyAlignment="1">
      <alignment horizontal="center" vertical="center"/>
    </xf>
    <xf numFmtId="49" fontId="5" fillId="41" borderId="34" xfId="0" applyNumberFormat="1" applyFont="1" applyFill="1" applyBorder="1" applyAlignment="1">
      <alignment vertical="center"/>
    </xf>
    <xf numFmtId="49" fontId="0" fillId="41" borderId="34" xfId="0" applyNumberFormat="1" applyFont="1" applyFill="1" applyBorder="1" applyAlignment="1">
      <alignment vertical="center"/>
    </xf>
    <xf numFmtId="37" fontId="5" fillId="41" borderId="34" xfId="0" applyNumberFormat="1" applyFont="1" applyFill="1" applyBorder="1" applyAlignment="1">
      <alignment/>
    </xf>
    <xf numFmtId="0" fontId="0" fillId="41" borderId="31" xfId="0" applyFont="1" applyFill="1" applyBorder="1" applyAlignment="1">
      <alignment vertical="center" wrapText="1"/>
    </xf>
    <xf numFmtId="0" fontId="0" fillId="41" borderId="0" xfId="0" applyFont="1" applyFill="1" applyBorder="1" applyAlignment="1">
      <alignment/>
    </xf>
    <xf numFmtId="49" fontId="5" fillId="41" borderId="30" xfId="0" applyNumberFormat="1" applyFont="1" applyFill="1" applyBorder="1" applyAlignment="1">
      <alignment horizontal="justify" vertical="center"/>
    </xf>
    <xf numFmtId="49" fontId="5" fillId="41" borderId="0" xfId="0" applyNumberFormat="1" applyFont="1" applyFill="1" applyBorder="1" applyAlignment="1">
      <alignment horizontal="justify" vertical="center"/>
    </xf>
    <xf numFmtId="37" fontId="0" fillId="41" borderId="0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vertical="center" wrapText="1"/>
    </xf>
    <xf numFmtId="0" fontId="0" fillId="41" borderId="17" xfId="0" applyFont="1" applyFill="1" applyBorder="1" applyAlignment="1">
      <alignment vertical="top" wrapText="1"/>
    </xf>
    <xf numFmtId="0" fontId="0" fillId="41" borderId="0" xfId="0" applyFont="1" applyFill="1" applyBorder="1" applyAlignment="1">
      <alignment vertical="center" wrapText="1"/>
    </xf>
    <xf numFmtId="0" fontId="0" fillId="41" borderId="34" xfId="0" applyFont="1" applyFill="1" applyBorder="1" applyAlignment="1">
      <alignment vertical="top" wrapText="1"/>
    </xf>
    <xf numFmtId="37" fontId="0" fillId="41" borderId="0" xfId="0" applyNumberFormat="1" applyFont="1" applyFill="1" applyBorder="1" applyAlignment="1">
      <alignment vertical="center"/>
    </xf>
    <xf numFmtId="37" fontId="0" fillId="41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 horizontal="left" vertical="top" wrapText="1"/>
    </xf>
    <xf numFmtId="0" fontId="0" fillId="41" borderId="0" xfId="0" applyFont="1" applyFill="1" applyBorder="1" applyAlignment="1">
      <alignment horizontal="right" vertical="top" wrapText="1"/>
    </xf>
    <xf numFmtId="0" fontId="0" fillId="41" borderId="15" xfId="0" applyFont="1" applyFill="1" applyBorder="1" applyAlignment="1">
      <alignment horizontal="left" vertical="top" wrapText="1"/>
    </xf>
    <xf numFmtId="0" fontId="0" fillId="41" borderId="17" xfId="0" applyFont="1" applyFill="1" applyBorder="1" applyAlignment="1">
      <alignment horizontal="justify" vertical="top" wrapText="1"/>
    </xf>
    <xf numFmtId="0" fontId="0" fillId="41" borderId="31" xfId="0" applyFont="1" applyFill="1" applyBorder="1" applyAlignment="1">
      <alignment horizontal="right" vertical="top" wrapText="1"/>
    </xf>
    <xf numFmtId="0" fontId="0" fillId="41" borderId="31" xfId="0" applyFont="1" applyFill="1" applyBorder="1" applyAlignment="1">
      <alignment/>
    </xf>
    <xf numFmtId="0" fontId="0" fillId="41" borderId="0" xfId="0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center" wrapText="1"/>
    </xf>
    <xf numFmtId="0" fontId="0" fillId="41" borderId="16" xfId="0" applyFont="1" applyFill="1" applyBorder="1" applyAlignment="1">
      <alignment wrapText="1"/>
    </xf>
    <xf numFmtId="0" fontId="0" fillId="41" borderId="0" xfId="0" applyFont="1" applyFill="1" applyBorder="1" applyAlignment="1">
      <alignment wrapText="1"/>
    </xf>
    <xf numFmtId="0" fontId="0" fillId="41" borderId="17" xfId="0" applyFont="1" applyFill="1" applyBorder="1" applyAlignment="1">
      <alignment wrapText="1"/>
    </xf>
    <xf numFmtId="0" fontId="0" fillId="41" borderId="31" xfId="0" applyFont="1" applyFill="1" applyBorder="1" applyAlignment="1">
      <alignment wrapText="1"/>
    </xf>
    <xf numFmtId="0" fontId="0" fillId="41" borderId="0" xfId="0" applyFont="1" applyFill="1" applyBorder="1" applyAlignment="1">
      <alignment vertical="top"/>
    </xf>
    <xf numFmtId="37" fontId="0" fillId="41" borderId="0" xfId="0" applyNumberFormat="1" applyFont="1" applyFill="1" applyBorder="1" applyAlignment="1">
      <alignment vertical="center" wrapText="1"/>
    </xf>
    <xf numFmtId="0" fontId="5" fillId="41" borderId="19" xfId="0" applyFont="1" applyFill="1" applyBorder="1" applyAlignment="1">
      <alignment vertical="center"/>
    </xf>
    <xf numFmtId="0" fontId="5" fillId="41" borderId="0" xfId="0" applyFont="1" applyFill="1" applyBorder="1" applyAlignment="1">
      <alignment/>
    </xf>
    <xf numFmtId="169" fontId="5" fillId="41" borderId="0" xfId="0" applyNumberFormat="1" applyFont="1" applyFill="1" applyBorder="1" applyAlignment="1">
      <alignment/>
    </xf>
    <xf numFmtId="169" fontId="5" fillId="41" borderId="15" xfId="0" applyNumberFormat="1" applyFont="1" applyFill="1" applyBorder="1" applyAlignment="1">
      <alignment horizontal="center"/>
    </xf>
    <xf numFmtId="169" fontId="0" fillId="41" borderId="0" xfId="0" applyNumberFormat="1" applyFont="1" applyFill="1" applyBorder="1" applyAlignment="1">
      <alignment wrapText="1"/>
    </xf>
    <xf numFmtId="169" fontId="0" fillId="41" borderId="15" xfId="0" applyNumberFormat="1" applyFont="1" applyFill="1" applyBorder="1" applyAlignment="1">
      <alignment wrapText="1"/>
    </xf>
    <xf numFmtId="169" fontId="5" fillId="41" borderId="0" xfId="0" applyNumberFormat="1" applyFont="1" applyFill="1" applyBorder="1" applyAlignment="1">
      <alignment wrapText="1"/>
    </xf>
    <xf numFmtId="169" fontId="5" fillId="41" borderId="15" xfId="0" applyNumberFormat="1" applyFont="1" applyFill="1" applyBorder="1" applyAlignment="1">
      <alignment wrapText="1"/>
    </xf>
    <xf numFmtId="0" fontId="5" fillId="41" borderId="34" xfId="0" applyNumberFormat="1" applyFont="1" applyFill="1" applyBorder="1" applyAlignment="1">
      <alignment vertical="center"/>
    </xf>
    <xf numFmtId="169" fontId="5" fillId="41" borderId="36" xfId="0" applyNumberFormat="1" applyFont="1" applyFill="1" applyBorder="1" applyAlignment="1">
      <alignment vertical="center"/>
    </xf>
    <xf numFmtId="169" fontId="5" fillId="41" borderId="34" xfId="0" applyNumberFormat="1" applyFont="1" applyFill="1" applyBorder="1" applyAlignment="1">
      <alignment vertical="center"/>
    </xf>
    <xf numFmtId="169" fontId="0" fillId="41" borderId="34" xfId="0" applyNumberFormat="1" applyFont="1" applyFill="1" applyBorder="1" applyAlignment="1">
      <alignment vertical="center" wrapText="1"/>
    </xf>
    <xf numFmtId="169" fontId="0" fillId="41" borderId="30" xfId="0" applyNumberFormat="1" applyFont="1" applyFill="1" applyBorder="1" applyAlignment="1">
      <alignment vertical="center" wrapText="1"/>
    </xf>
    <xf numFmtId="169" fontId="0" fillId="41" borderId="36" xfId="0" applyNumberFormat="1" applyFont="1" applyFill="1" applyBorder="1" applyAlignment="1">
      <alignment vertical="center" wrapText="1"/>
    </xf>
    <xf numFmtId="169" fontId="0" fillId="41" borderId="0" xfId="0" applyNumberFormat="1" applyFont="1" applyFill="1" applyAlignment="1">
      <alignment/>
    </xf>
    <xf numFmtId="169" fontId="0" fillId="41" borderId="0" xfId="0" applyNumberFormat="1" applyFont="1" applyFill="1" applyBorder="1" applyAlignment="1">
      <alignment/>
    </xf>
    <xf numFmtId="169" fontId="0" fillId="41" borderId="0" xfId="0" applyNumberFormat="1" applyFont="1" applyFill="1" applyAlignment="1">
      <alignment/>
    </xf>
    <xf numFmtId="0" fontId="5" fillId="41" borderId="35" xfId="0" applyNumberFormat="1" applyFont="1" applyFill="1" applyBorder="1" applyAlignment="1">
      <alignment vertical="center" wrapText="1"/>
    </xf>
    <xf numFmtId="0" fontId="0" fillId="41" borderId="0" xfId="0" applyFont="1" applyFill="1" applyAlignment="1">
      <alignment vertical="center"/>
    </xf>
    <xf numFmtId="169" fontId="0" fillId="41" borderId="19" xfId="0" applyNumberFormat="1" applyFont="1" applyFill="1" applyBorder="1" applyAlignment="1">
      <alignment horizontal="center" vertical="center"/>
    </xf>
    <xf numFmtId="49" fontId="0" fillId="41" borderId="0" xfId="0" applyNumberFormat="1" applyFont="1" applyFill="1" applyAlignment="1">
      <alignment vertical="center"/>
    </xf>
    <xf numFmtId="0" fontId="0" fillId="41" borderId="17" xfId="0" applyFont="1" applyFill="1" applyBorder="1" applyAlignment="1">
      <alignment horizontal="left" vertical="top" wrapText="1"/>
    </xf>
    <xf numFmtId="0" fontId="0" fillId="41" borderId="37" xfId="0" applyFont="1" applyFill="1" applyBorder="1" applyAlignment="1">
      <alignment horizontal="left" vertical="top" wrapText="1"/>
    </xf>
    <xf numFmtId="0" fontId="0" fillId="41" borderId="37" xfId="0" applyFont="1" applyFill="1" applyBorder="1" applyAlignment="1">
      <alignment horizontal="center" vertical="top" wrapText="1"/>
    </xf>
    <xf numFmtId="0" fontId="0" fillId="41" borderId="37" xfId="0" applyFont="1" applyFill="1" applyBorder="1" applyAlignment="1">
      <alignment horizontal="right" vertical="top" wrapText="1"/>
    </xf>
    <xf numFmtId="0" fontId="0" fillId="41" borderId="37" xfId="0" applyFont="1" applyFill="1" applyBorder="1" applyAlignment="1">
      <alignment/>
    </xf>
    <xf numFmtId="0" fontId="5" fillId="41" borderId="17" xfId="0" applyFont="1" applyFill="1" applyBorder="1" applyAlignment="1">
      <alignment horizontal="center" vertical="center"/>
    </xf>
    <xf numFmtId="0" fontId="5" fillId="41" borderId="38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/>
    </xf>
    <xf numFmtId="0" fontId="0" fillId="41" borderId="19" xfId="0" applyFont="1" applyFill="1" applyBorder="1" applyAlignment="1">
      <alignment horizontal="center"/>
    </xf>
    <xf numFmtId="0" fontId="0" fillId="41" borderId="19" xfId="0" applyNumberFormat="1" applyFont="1" applyFill="1" applyBorder="1" applyAlignment="1">
      <alignment wrapText="1"/>
    </xf>
    <xf numFmtId="0" fontId="0" fillId="41" borderId="19" xfId="0" applyNumberFormat="1" applyFont="1" applyFill="1" applyBorder="1" applyAlignment="1">
      <alignment/>
    </xf>
    <xf numFmtId="0" fontId="0" fillId="41" borderId="19" xfId="0" applyFont="1" applyFill="1" applyBorder="1" applyAlignment="1">
      <alignment horizontal="center" vertical="top" wrapText="1"/>
    </xf>
    <xf numFmtId="0" fontId="0" fillId="41" borderId="19" xfId="0" applyFont="1" applyFill="1" applyBorder="1" applyAlignment="1">
      <alignment horizontal="right" vertical="top" wrapText="1"/>
    </xf>
    <xf numFmtId="0" fontId="0" fillId="41" borderId="19" xfId="0" applyFont="1" applyFill="1" applyBorder="1" applyAlignment="1">
      <alignment/>
    </xf>
    <xf numFmtId="0" fontId="0" fillId="41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1" fillId="35" borderId="21" xfId="0" applyFont="1" applyFill="1" applyBorder="1" applyAlignment="1">
      <alignment vertical="center" wrapText="1"/>
    </xf>
    <xf numFmtId="0" fontId="21" fillId="35" borderId="22" xfId="0" applyFont="1" applyFill="1" applyBorder="1" applyAlignment="1">
      <alignment vertical="center" wrapText="1"/>
    </xf>
    <xf numFmtId="4" fontId="20" fillId="0" borderId="22" xfId="0" applyNumberFormat="1" applyFont="1" applyBorder="1" applyAlignment="1">
      <alignment horizontal="center" vertical="top" wrapText="1"/>
    </xf>
    <xf numFmtId="0" fontId="21" fillId="35" borderId="0" xfId="0" applyFont="1" applyFill="1" applyBorder="1" applyAlignment="1">
      <alignment vertical="center" wrapText="1"/>
    </xf>
    <xf numFmtId="0" fontId="21" fillId="35" borderId="40" xfId="0" applyFont="1" applyFill="1" applyBorder="1" applyAlignment="1">
      <alignment vertical="center" wrapText="1"/>
    </xf>
    <xf numFmtId="0" fontId="20" fillId="0" borderId="41" xfId="0" applyFont="1" applyBorder="1" applyAlignment="1">
      <alignment horizontal="center" vertical="center" wrapText="1"/>
    </xf>
    <xf numFmtId="3" fontId="20" fillId="0" borderId="4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8" fontId="1" fillId="0" borderId="43" xfId="0" applyNumberFormat="1" applyFont="1" applyBorder="1" applyAlignment="1">
      <alignment horizontal="center" vertical="center"/>
    </xf>
    <xf numFmtId="38" fontId="21" fillId="0" borderId="44" xfId="0" applyNumberFormat="1" applyFont="1" applyBorder="1" applyAlignment="1">
      <alignment horizontal="center" vertical="center"/>
    </xf>
    <xf numFmtId="38" fontId="21" fillId="0" borderId="45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38" fontId="1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49" fontId="33" fillId="36" borderId="16" xfId="0" applyNumberFormat="1" applyFont="1" applyFill="1" applyBorder="1" applyAlignment="1" applyProtection="1">
      <alignment horizontal="center" vertical="center" wrapText="1"/>
      <protection/>
    </xf>
    <xf numFmtId="0" fontId="5" fillId="42" borderId="31" xfId="0" applyFont="1" applyFill="1" applyBorder="1" applyAlignment="1">
      <alignment horizontal="center" wrapText="1"/>
    </xf>
    <xf numFmtId="0" fontId="16" fillId="0" borderId="36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0" xfId="0" applyBorder="1" applyAlignment="1">
      <alignment wrapText="1"/>
    </xf>
    <xf numFmtId="0" fontId="6" fillId="36" borderId="19" xfId="0" applyFont="1" applyFill="1" applyBorder="1" applyAlignment="1">
      <alignment horizontal="center" vertical="center" wrapText="1"/>
    </xf>
    <xf numFmtId="38" fontId="40" fillId="0" borderId="43" xfId="0" applyNumberFormat="1" applyFont="1" applyBorder="1" applyAlignment="1">
      <alignment horizontal="left" vertical="center"/>
    </xf>
    <xf numFmtId="0" fontId="40" fillId="0" borderId="44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5" fillId="36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wrapText="1"/>
    </xf>
    <xf numFmtId="173" fontId="0" fillId="0" borderId="18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wrapText="1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38" fontId="17" fillId="0" borderId="43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8" fontId="0" fillId="0" borderId="43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38" fontId="1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8" fontId="5" fillId="0" borderId="4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38" fontId="16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38" fontId="6" fillId="0" borderId="43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7" fillId="0" borderId="34" xfId="0" applyFont="1" applyFill="1" applyBorder="1" applyAlignment="1">
      <alignment vertical="top" wrapText="1"/>
    </xf>
    <xf numFmtId="0" fontId="16" fillId="0" borderId="16" xfId="0" applyFont="1" applyBorder="1" applyAlignment="1">
      <alignment horizontal="left"/>
    </xf>
    <xf numFmtId="169" fontId="5" fillId="41" borderId="36" xfId="0" applyNumberFormat="1" applyFont="1" applyFill="1" applyBorder="1" applyAlignment="1">
      <alignment horizontal="center"/>
    </xf>
    <xf numFmtId="169" fontId="5" fillId="41" borderId="30" xfId="0" applyNumberFormat="1" applyFont="1" applyFill="1" applyBorder="1" applyAlignment="1">
      <alignment horizontal="center"/>
    </xf>
    <xf numFmtId="169" fontId="0" fillId="41" borderId="36" xfId="0" applyNumberFormat="1" applyFont="1" applyFill="1" applyBorder="1" applyAlignment="1">
      <alignment horizontal="center" vertical="center" wrapText="1"/>
    </xf>
    <xf numFmtId="169" fontId="0" fillId="41" borderId="30" xfId="0" applyNumberFormat="1" applyFont="1" applyFill="1" applyBorder="1" applyAlignment="1">
      <alignment horizontal="center" vertical="center" wrapText="1"/>
    </xf>
    <xf numFmtId="0" fontId="0" fillId="41" borderId="36" xfId="0" applyFont="1" applyFill="1" applyBorder="1" applyAlignment="1">
      <alignment/>
    </xf>
    <xf numFmtId="0" fontId="0" fillId="41" borderId="30" xfId="0" applyFont="1" applyFill="1" applyBorder="1" applyAlignment="1">
      <alignment/>
    </xf>
    <xf numFmtId="169" fontId="0" fillId="41" borderId="36" xfId="0" applyNumberFormat="1" applyFont="1" applyFill="1" applyBorder="1" applyAlignment="1">
      <alignment/>
    </xf>
    <xf numFmtId="169" fontId="0" fillId="41" borderId="30" xfId="0" applyNumberFormat="1" applyFont="1" applyFill="1" applyBorder="1" applyAlignment="1">
      <alignment/>
    </xf>
    <xf numFmtId="0" fontId="5" fillId="41" borderId="36" xfId="0" applyNumberFormat="1" applyFont="1" applyFill="1" applyBorder="1" applyAlignment="1">
      <alignment horizontal="center" vertical="center" wrapText="1"/>
    </xf>
    <xf numFmtId="0" fontId="5" fillId="41" borderId="34" xfId="0" applyNumberFormat="1" applyFont="1" applyFill="1" applyBorder="1" applyAlignment="1">
      <alignment horizontal="center" vertical="center" wrapText="1"/>
    </xf>
    <xf numFmtId="0" fontId="5" fillId="41" borderId="30" xfId="0" applyNumberFormat="1" applyFont="1" applyFill="1" applyBorder="1" applyAlignment="1">
      <alignment horizontal="center" vertical="center" wrapText="1"/>
    </xf>
    <xf numFmtId="169" fontId="5" fillId="41" borderId="36" xfId="0" applyNumberFormat="1" applyFont="1" applyFill="1" applyBorder="1" applyAlignment="1">
      <alignment/>
    </xf>
    <xf numFmtId="169" fontId="5" fillId="41" borderId="30" xfId="0" applyNumberFormat="1" applyFont="1" applyFill="1" applyBorder="1" applyAlignment="1">
      <alignment/>
    </xf>
    <xf numFmtId="0" fontId="0" fillId="41" borderId="19" xfId="0" applyFont="1" applyFill="1" applyBorder="1" applyAlignment="1">
      <alignment horizontal="center" vertical="top" wrapText="1"/>
    </xf>
    <xf numFmtId="0" fontId="0" fillId="41" borderId="36" xfId="0" applyFont="1" applyFill="1" applyBorder="1" applyAlignment="1">
      <alignment vertical="top" wrapText="1"/>
    </xf>
    <xf numFmtId="0" fontId="0" fillId="41" borderId="34" xfId="0" applyFont="1" applyFill="1" applyBorder="1" applyAlignment="1">
      <alignment vertical="top" wrapText="1"/>
    </xf>
    <xf numFmtId="0" fontId="5" fillId="41" borderId="36" xfId="0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 wrapText="1"/>
    </xf>
    <xf numFmtId="169" fontId="0" fillId="41" borderId="36" xfId="0" applyNumberFormat="1" applyFont="1" applyFill="1" applyBorder="1" applyAlignment="1">
      <alignment horizontal="center" vertical="center"/>
    </xf>
    <xf numFmtId="169" fontId="0" fillId="41" borderId="30" xfId="0" applyNumberFormat="1" applyFont="1" applyFill="1" applyBorder="1" applyAlignment="1">
      <alignment horizontal="center" vertical="center"/>
    </xf>
    <xf numFmtId="169" fontId="5" fillId="41" borderId="19" xfId="0" applyNumberFormat="1" applyFont="1" applyFill="1" applyBorder="1" applyAlignment="1">
      <alignment/>
    </xf>
    <xf numFmtId="169" fontId="0" fillId="41" borderId="19" xfId="0" applyNumberFormat="1" applyFont="1" applyFill="1" applyBorder="1" applyAlignment="1">
      <alignment/>
    </xf>
    <xf numFmtId="169" fontId="5" fillId="41" borderId="36" xfId="0" applyNumberFormat="1" applyFont="1" applyFill="1" applyBorder="1" applyAlignment="1">
      <alignment horizontal="center" vertical="center"/>
    </xf>
    <xf numFmtId="169" fontId="5" fillId="41" borderId="30" xfId="0" applyNumberFormat="1" applyFont="1" applyFill="1" applyBorder="1" applyAlignment="1">
      <alignment horizontal="center" vertical="center"/>
    </xf>
    <xf numFmtId="169" fontId="0" fillId="41" borderId="36" xfId="0" applyNumberFormat="1" applyFont="1" applyFill="1" applyBorder="1" applyAlignment="1">
      <alignment horizontal="center" wrapText="1"/>
    </xf>
    <xf numFmtId="169" fontId="0" fillId="41" borderId="30" xfId="0" applyNumberFormat="1" applyFont="1" applyFill="1" applyBorder="1" applyAlignment="1">
      <alignment horizontal="center" wrapText="1"/>
    </xf>
    <xf numFmtId="0" fontId="15" fillId="41" borderId="16" xfId="0" applyFont="1" applyFill="1" applyBorder="1" applyAlignment="1">
      <alignment horizontal="left" vertical="center" wrapText="1"/>
    </xf>
    <xf numFmtId="0" fontId="0" fillId="41" borderId="3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0" fillId="41" borderId="17" xfId="0" applyFont="1" applyFill="1" applyBorder="1" applyAlignment="1">
      <alignment horizontal="center"/>
    </xf>
    <xf numFmtId="0" fontId="0" fillId="41" borderId="36" xfId="0" applyFont="1" applyFill="1" applyBorder="1" applyAlignment="1">
      <alignment horizontal="center"/>
    </xf>
    <xf numFmtId="37" fontId="0" fillId="41" borderId="36" xfId="0" applyNumberFormat="1" applyFont="1" applyFill="1" applyBorder="1" applyAlignment="1">
      <alignment horizontal="center"/>
    </xf>
    <xf numFmtId="37" fontId="0" fillId="41" borderId="34" xfId="0" applyNumberFormat="1" applyFont="1" applyFill="1" applyBorder="1" applyAlignment="1">
      <alignment horizontal="center"/>
    </xf>
    <xf numFmtId="37" fontId="0" fillId="41" borderId="30" xfId="0" applyNumberFormat="1" applyFont="1" applyFill="1" applyBorder="1" applyAlignment="1">
      <alignment horizontal="center"/>
    </xf>
    <xf numFmtId="0" fontId="0" fillId="41" borderId="36" xfId="0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41" borderId="34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/>
    </xf>
    <xf numFmtId="0" fontId="5" fillId="41" borderId="34" xfId="0" applyFont="1" applyFill="1" applyBorder="1" applyAlignment="1">
      <alignment horizontal="center" vertical="center"/>
    </xf>
    <xf numFmtId="0" fontId="5" fillId="41" borderId="30" xfId="0" applyFont="1" applyFill="1" applyBorder="1" applyAlignment="1">
      <alignment horizontal="center" vertical="center"/>
    </xf>
    <xf numFmtId="0" fontId="5" fillId="41" borderId="52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>
      <alignment horizontal="center" vertical="center" wrapText="1"/>
    </xf>
    <xf numFmtId="0" fontId="0" fillId="41" borderId="36" xfId="0" applyFont="1" applyFill="1" applyBorder="1" applyAlignment="1">
      <alignment horizontal="center" vertical="top" wrapText="1"/>
    </xf>
    <xf numFmtId="0" fontId="0" fillId="41" borderId="34" xfId="0" applyFont="1" applyFill="1" applyBorder="1" applyAlignment="1">
      <alignment horizontal="center" vertical="top" wrapText="1"/>
    </xf>
    <xf numFmtId="0" fontId="5" fillId="41" borderId="36" xfId="0" applyFont="1" applyFill="1" applyBorder="1" applyAlignment="1">
      <alignment horizontal="center" wrapText="1"/>
    </xf>
    <xf numFmtId="0" fontId="5" fillId="41" borderId="34" xfId="0" applyFont="1" applyFill="1" applyBorder="1" applyAlignment="1">
      <alignment horizontal="center" wrapText="1"/>
    </xf>
    <xf numFmtId="0" fontId="5" fillId="41" borderId="30" xfId="0" applyFont="1" applyFill="1" applyBorder="1" applyAlignment="1">
      <alignment horizontal="center" wrapText="1"/>
    </xf>
    <xf numFmtId="8" fontId="0" fillId="41" borderId="40" xfId="0" applyNumberFormat="1" applyFont="1" applyFill="1" applyBorder="1" applyAlignment="1">
      <alignment horizontal="right"/>
    </xf>
    <xf numFmtId="0" fontId="35" fillId="41" borderId="54" xfId="0" applyFont="1" applyFill="1" applyBorder="1" applyAlignment="1">
      <alignment horizontal="center" vertical="center"/>
    </xf>
    <xf numFmtId="0" fontId="5" fillId="41" borderId="52" xfId="0" applyFont="1" applyFill="1" applyBorder="1" applyAlignment="1">
      <alignment horizontal="center" vertical="center"/>
    </xf>
    <xf numFmtId="0" fontId="5" fillId="41" borderId="53" xfId="0" applyFont="1" applyFill="1" applyBorder="1" applyAlignment="1">
      <alignment horizontal="center" vertical="center"/>
    </xf>
    <xf numFmtId="169" fontId="0" fillId="41" borderId="34" xfId="0" applyNumberFormat="1" applyFont="1" applyFill="1" applyBorder="1" applyAlignment="1">
      <alignment horizontal="center" vertical="center"/>
    </xf>
    <xf numFmtId="169" fontId="5" fillId="41" borderId="34" xfId="0" applyNumberFormat="1" applyFont="1" applyFill="1" applyBorder="1" applyAlignment="1">
      <alignment horizontal="center"/>
    </xf>
    <xf numFmtId="38" fontId="15" fillId="41" borderId="0" xfId="0" applyNumberFormat="1" applyFont="1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0" fillId="41" borderId="0" xfId="0" applyFont="1" applyFill="1" applyAlignment="1">
      <alignment horizontal="center"/>
    </xf>
    <xf numFmtId="0" fontId="0" fillId="41" borderId="55" xfId="0" applyFont="1" applyFill="1" applyBorder="1" applyAlignment="1">
      <alignment horizontal="center"/>
    </xf>
    <xf numFmtId="0" fontId="0" fillId="41" borderId="40" xfId="0" applyFont="1" applyFill="1" applyBorder="1" applyAlignment="1">
      <alignment horizontal="left" vertical="center"/>
    </xf>
    <xf numFmtId="38" fontId="15" fillId="0" borderId="43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38" fontId="6" fillId="0" borderId="43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justify" wrapText="1"/>
    </xf>
    <xf numFmtId="38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1" fillId="35" borderId="56" xfId="0" applyFont="1" applyFill="1" applyBorder="1" applyAlignment="1">
      <alignment horizontal="center" vertical="top" wrapText="1"/>
    </xf>
    <xf numFmtId="0" fontId="21" fillId="35" borderId="54" xfId="0" applyFont="1" applyFill="1" applyBorder="1" applyAlignment="1">
      <alignment horizontal="center" vertical="top" wrapText="1"/>
    </xf>
    <xf numFmtId="0" fontId="21" fillId="35" borderId="57" xfId="0" applyFont="1" applyFill="1" applyBorder="1" applyAlignment="1">
      <alignment horizontal="center" vertical="top" wrapText="1"/>
    </xf>
    <xf numFmtId="0" fontId="21" fillId="35" borderId="39" xfId="0" applyFont="1" applyFill="1" applyBorder="1" applyAlignment="1">
      <alignment horizontal="center" vertical="top" wrapText="1"/>
    </xf>
    <xf numFmtId="0" fontId="21" fillId="35" borderId="41" xfId="0" applyFont="1" applyFill="1" applyBorder="1" applyAlignment="1">
      <alignment horizontal="center" vertical="top" wrapText="1"/>
    </xf>
    <xf numFmtId="0" fontId="21" fillId="35" borderId="42" xfId="0" applyFont="1" applyFill="1" applyBorder="1" applyAlignment="1">
      <alignment horizontal="center" vertical="top" wrapText="1"/>
    </xf>
    <xf numFmtId="0" fontId="21" fillId="35" borderId="39" xfId="0" applyFont="1" applyFill="1" applyBorder="1" applyAlignment="1">
      <alignment vertical="top" wrapText="1"/>
    </xf>
    <xf numFmtId="0" fontId="21" fillId="35" borderId="41" xfId="0" applyFont="1" applyFill="1" applyBorder="1" applyAlignment="1">
      <alignment vertical="top" wrapText="1"/>
    </xf>
    <xf numFmtId="0" fontId="21" fillId="35" borderId="42" xfId="0" applyFont="1" applyFill="1" applyBorder="1" applyAlignment="1">
      <alignment vertical="top" wrapText="1"/>
    </xf>
    <xf numFmtId="0" fontId="0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4" fontId="20" fillId="0" borderId="39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56" xfId="0" applyFont="1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43" fontId="0" fillId="0" borderId="56" xfId="0" applyNumberFormat="1" applyFont="1" applyFill="1" applyBorder="1" applyAlignment="1">
      <alignment horizontal="right" wrapText="1"/>
    </xf>
    <xf numFmtId="43" fontId="0" fillId="0" borderId="54" xfId="0" applyNumberFormat="1" applyFont="1" applyFill="1" applyBorder="1" applyAlignment="1">
      <alignment horizontal="right" wrapText="1"/>
    </xf>
    <xf numFmtId="43" fontId="0" fillId="0" borderId="57" xfId="0" applyNumberFormat="1" applyFont="1" applyFill="1" applyBorder="1" applyAlignment="1">
      <alignment horizontal="right" wrapText="1"/>
    </xf>
    <xf numFmtId="0" fontId="5" fillId="36" borderId="39" xfId="0" applyFont="1" applyFill="1" applyBorder="1" applyAlignment="1">
      <alignment horizontal="center" wrapText="1"/>
    </xf>
    <xf numFmtId="0" fontId="5" fillId="36" borderId="42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56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43" fontId="0" fillId="0" borderId="56" xfId="0" applyNumberFormat="1" applyFont="1" applyFill="1" applyBorder="1" applyAlignment="1">
      <alignment horizontal="center" wrapText="1"/>
    </xf>
    <xf numFmtId="43" fontId="0" fillId="0" borderId="54" xfId="0" applyNumberFormat="1" applyFont="1" applyFill="1" applyBorder="1" applyAlignment="1">
      <alignment horizontal="center" wrapText="1"/>
    </xf>
    <xf numFmtId="43" fontId="0" fillId="0" borderId="57" xfId="0" applyNumberFormat="1" applyFont="1" applyFill="1" applyBorder="1" applyAlignment="1">
      <alignment horizontal="center" wrapText="1"/>
    </xf>
    <xf numFmtId="0" fontId="5" fillId="36" borderId="58" xfId="0" applyFont="1" applyFill="1" applyBorder="1" applyAlignment="1">
      <alignment horizontal="center" wrapText="1"/>
    </xf>
    <xf numFmtId="0" fontId="5" fillId="36" borderId="20" xfId="0" applyFont="1" applyFill="1" applyBorder="1" applyAlignment="1">
      <alignment horizontal="center" wrapText="1"/>
    </xf>
    <xf numFmtId="0" fontId="5" fillId="36" borderId="60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0" fontId="5" fillId="36" borderId="59" xfId="0" applyFont="1" applyFill="1" applyBorder="1" applyAlignment="1">
      <alignment horizontal="center" wrapText="1"/>
    </xf>
    <xf numFmtId="0" fontId="5" fillId="36" borderId="40" xfId="0" applyFont="1" applyFill="1" applyBorder="1" applyAlignment="1">
      <alignment horizontal="center" wrapText="1"/>
    </xf>
    <xf numFmtId="0" fontId="5" fillId="36" borderId="56" xfId="0" applyFont="1" applyFill="1" applyBorder="1" applyAlignment="1">
      <alignment horizontal="center" wrapText="1"/>
    </xf>
    <xf numFmtId="0" fontId="5" fillId="36" borderId="54" xfId="0" applyFont="1" applyFill="1" applyBorder="1" applyAlignment="1">
      <alignment horizontal="center" wrapText="1"/>
    </xf>
    <xf numFmtId="0" fontId="5" fillId="36" borderId="57" xfId="0" applyFont="1" applyFill="1" applyBorder="1" applyAlignment="1">
      <alignment horizontal="center" wrapText="1"/>
    </xf>
    <xf numFmtId="43" fontId="0" fillId="36" borderId="56" xfId="0" applyNumberFormat="1" applyFont="1" applyFill="1" applyBorder="1" applyAlignment="1">
      <alignment horizontal="right" wrapText="1"/>
    </xf>
    <xf numFmtId="43" fontId="0" fillId="36" borderId="54" xfId="0" applyNumberFormat="1" applyFont="1" applyFill="1" applyBorder="1" applyAlignment="1">
      <alignment horizontal="right" wrapText="1"/>
    </xf>
    <xf numFmtId="43" fontId="0" fillId="36" borderId="57" xfId="0" applyNumberFormat="1" applyFont="1" applyFill="1" applyBorder="1" applyAlignment="1">
      <alignment horizontal="right" wrapText="1"/>
    </xf>
    <xf numFmtId="38" fontId="33" fillId="43" borderId="0" xfId="0" applyNumberFormat="1" applyFont="1" applyFill="1" applyAlignment="1" applyProtection="1">
      <alignment horizontal="center" vertical="center" wrapText="1"/>
      <protection/>
    </xf>
    <xf numFmtId="0" fontId="0" fillId="42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38" fontId="33" fillId="42" borderId="0" xfId="0" applyNumberFormat="1" applyFont="1" applyFill="1" applyAlignment="1" applyProtection="1">
      <alignment horizontal="center" vertical="center" wrapText="1"/>
      <protection/>
    </xf>
    <xf numFmtId="0" fontId="33" fillId="43" borderId="0" xfId="0" applyFont="1" applyFill="1" applyAlignment="1" applyProtection="1">
      <alignment horizontal="center" vertical="center" wrapText="1"/>
      <protection/>
    </xf>
    <xf numFmtId="43" fontId="33" fillId="43" borderId="19" xfId="0" applyNumberFormat="1" applyFont="1" applyFill="1" applyBorder="1" applyAlignment="1" applyProtection="1">
      <alignment vertical="center"/>
      <protection/>
    </xf>
    <xf numFmtId="43" fontId="33" fillId="43" borderId="19" xfId="0" applyNumberFormat="1" applyFont="1" applyFill="1" applyBorder="1" applyAlignment="1" applyProtection="1">
      <alignment horizontal="left" vertical="center"/>
      <protection/>
    </xf>
    <xf numFmtId="43" fontId="34" fillId="43" borderId="19" xfId="0" applyNumberFormat="1" applyFont="1" applyFill="1" applyBorder="1" applyAlignment="1" applyProtection="1">
      <alignment horizontal="left" vertical="center"/>
      <protection/>
    </xf>
    <xf numFmtId="43" fontId="34" fillId="43" borderId="19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49" fontId="33" fillId="36" borderId="62" xfId="0" applyNumberFormat="1" applyFont="1" applyFill="1" applyBorder="1" applyAlignment="1" applyProtection="1">
      <alignment horizontal="center" vertical="center" wrapText="1"/>
      <protection/>
    </xf>
    <xf numFmtId="49" fontId="33" fillId="36" borderId="35" xfId="0" applyNumberFormat="1" applyFont="1" applyFill="1" applyBorder="1" applyAlignment="1" applyProtection="1">
      <alignment horizontal="center" vertical="center" wrapText="1"/>
      <protection/>
    </xf>
    <xf numFmtId="0" fontId="36" fillId="42" borderId="38" xfId="0" applyFont="1" applyFill="1" applyBorder="1" applyAlignment="1">
      <alignment horizontal="center" wrapText="1"/>
    </xf>
    <xf numFmtId="0" fontId="5" fillId="42" borderId="17" xfId="0" applyFont="1" applyFill="1" applyBorder="1" applyAlignment="1">
      <alignment horizontal="center" wrapText="1"/>
    </xf>
    <xf numFmtId="0" fontId="36" fillId="42" borderId="32" xfId="0" applyFont="1" applyFill="1" applyBorder="1" applyAlignment="1">
      <alignment horizontal="center" wrapText="1"/>
    </xf>
    <xf numFmtId="38" fontId="33" fillId="36" borderId="36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43" borderId="0" xfId="0" applyFont="1" applyFill="1" applyBorder="1" applyAlignment="1" applyProtection="1">
      <alignment horizontal="center" vertical="center"/>
      <protection/>
    </xf>
    <xf numFmtId="0" fontId="5" fillId="42" borderId="0" xfId="0" applyFont="1" applyFill="1" applyBorder="1" applyAlignment="1">
      <alignment vertical="center"/>
    </xf>
    <xf numFmtId="0" fontId="33" fillId="43" borderId="52" xfId="0" applyFont="1" applyFill="1" applyBorder="1" applyAlignment="1" applyProtection="1">
      <alignment horizontal="center" vertical="center"/>
      <protection/>
    </xf>
    <xf numFmtId="0" fontId="33" fillId="43" borderId="63" xfId="0" applyFont="1" applyFill="1" applyBorder="1" applyAlignment="1" applyProtection="1">
      <alignment horizontal="center" vertical="center"/>
      <protection/>
    </xf>
    <xf numFmtId="0" fontId="33" fillId="43" borderId="64" xfId="0" applyFont="1" applyFill="1" applyBorder="1" applyAlignment="1" applyProtection="1">
      <alignment horizontal="center" vertical="center"/>
      <protection/>
    </xf>
    <xf numFmtId="49" fontId="33" fillId="43" borderId="65" xfId="0" applyNumberFormat="1" applyFont="1" applyFill="1" applyBorder="1" applyAlignment="1" applyProtection="1">
      <alignment vertical="center"/>
      <protection/>
    </xf>
    <xf numFmtId="43" fontId="33" fillId="43" borderId="66" xfId="0" applyNumberFormat="1" applyFont="1" applyFill="1" applyBorder="1" applyAlignment="1" applyProtection="1">
      <alignment vertical="center"/>
      <protection/>
    </xf>
    <xf numFmtId="49" fontId="33" fillId="43" borderId="65" xfId="0" applyNumberFormat="1" applyFont="1" applyFill="1" applyBorder="1" applyAlignment="1" applyProtection="1">
      <alignment horizontal="left" vertical="center"/>
      <protection/>
    </xf>
    <xf numFmtId="43" fontId="33" fillId="43" borderId="66" xfId="0" applyNumberFormat="1" applyFont="1" applyFill="1" applyBorder="1" applyAlignment="1" applyProtection="1">
      <alignment horizontal="left" vertical="center"/>
      <protection/>
    </xf>
    <xf numFmtId="49" fontId="34" fillId="43" borderId="61" xfId="0" applyNumberFormat="1" applyFont="1" applyFill="1" applyBorder="1" applyAlignment="1" applyProtection="1">
      <alignment horizontal="left" vertical="center"/>
      <protection/>
    </xf>
    <xf numFmtId="43" fontId="34" fillId="43" borderId="66" xfId="0" applyNumberFormat="1" applyFont="1" applyFill="1" applyBorder="1" applyAlignment="1" applyProtection="1">
      <alignment horizontal="left" vertical="center"/>
      <protection/>
    </xf>
    <xf numFmtId="0" fontId="34" fillId="43" borderId="61" xfId="0" applyFont="1" applyFill="1" applyBorder="1" applyAlignment="1" applyProtection="1">
      <alignment horizontal="left" vertical="center" indent="1"/>
      <protection/>
    </xf>
    <xf numFmtId="43" fontId="34" fillId="43" borderId="66" xfId="0" applyNumberFormat="1" applyFont="1" applyFill="1" applyBorder="1" applyAlignment="1" applyProtection="1">
      <alignment horizontal="left" vertical="center" indent="1"/>
      <protection/>
    </xf>
    <xf numFmtId="49" fontId="34" fillId="43" borderId="61" xfId="0" applyNumberFormat="1" applyFont="1" applyFill="1" applyBorder="1" applyAlignment="1" applyProtection="1">
      <alignment horizontal="left" vertical="center" indent="1"/>
      <protection/>
    </xf>
    <xf numFmtId="49" fontId="33" fillId="43" borderId="67" xfId="0" applyNumberFormat="1" applyFont="1" applyFill="1" applyBorder="1" applyAlignment="1" applyProtection="1">
      <alignment vertical="center"/>
      <protection/>
    </xf>
    <xf numFmtId="43" fontId="33" fillId="43" borderId="68" xfId="0" applyNumberFormat="1" applyFont="1" applyFill="1" applyBorder="1" applyAlignment="1" applyProtection="1">
      <alignment vertical="center"/>
      <protection/>
    </xf>
    <xf numFmtId="43" fontId="33" fillId="43" borderId="69" xfId="0" applyNumberFormat="1" applyFont="1" applyFill="1" applyBorder="1" applyAlignment="1" applyProtection="1">
      <alignment vertical="center"/>
      <protection/>
    </xf>
    <xf numFmtId="0" fontId="5" fillId="42" borderId="0" xfId="0" applyFont="1" applyFill="1" applyBorder="1" applyAlignment="1">
      <alignment horizontal="center" wrapText="1"/>
    </xf>
    <xf numFmtId="0" fontId="5" fillId="42" borderId="15" xfId="0" applyFont="1" applyFill="1" applyBorder="1" applyAlignment="1">
      <alignment horizontal="center" wrapText="1"/>
    </xf>
    <xf numFmtId="49" fontId="33" fillId="0" borderId="58" xfId="0" applyNumberFormat="1" applyFont="1" applyFill="1" applyBorder="1" applyAlignment="1" applyProtection="1">
      <alignment horizontal="center" vertical="center" wrapText="1"/>
      <protection/>
    </xf>
    <xf numFmtId="0" fontId="33" fillId="0" borderId="53" xfId="0" applyFont="1" applyFill="1" applyBorder="1" applyAlignment="1" applyProtection="1">
      <alignment horizontal="center" vertical="center" wrapText="1"/>
      <protection/>
    </xf>
    <xf numFmtId="0" fontId="33" fillId="0" borderId="70" xfId="0" applyFont="1" applyFill="1" applyBorder="1" applyAlignment="1" applyProtection="1">
      <alignment horizontal="center" vertical="center" wrapText="1"/>
      <protection/>
    </xf>
    <xf numFmtId="0" fontId="33" fillId="0" borderId="71" xfId="0" applyFont="1" applyFill="1" applyBorder="1" applyAlignment="1" applyProtection="1">
      <alignment horizontal="center" vertical="center" wrapText="1"/>
      <protection/>
    </xf>
    <xf numFmtId="1" fontId="33" fillId="0" borderId="17" xfId="63" applyNumberFormat="1" applyFont="1" applyFill="1" applyBorder="1" applyAlignment="1" applyProtection="1">
      <alignment horizontal="center" vertical="center" wrapText="1"/>
      <protection/>
    </xf>
    <xf numFmtId="1" fontId="33" fillId="0" borderId="72" xfId="63" applyNumberFormat="1" applyFont="1" applyFill="1" applyBorder="1" applyAlignment="1" applyProtection="1">
      <alignment horizontal="center" vertical="center" wrapText="1"/>
      <protection/>
    </xf>
    <xf numFmtId="0" fontId="34" fillId="0" borderId="61" xfId="63" applyNumberFormat="1" applyFont="1" applyFill="1" applyBorder="1" applyAlignment="1" applyProtection="1">
      <alignment horizontal="left" vertical="center"/>
      <protection/>
    </xf>
    <xf numFmtId="43" fontId="34" fillId="0" borderId="32" xfId="63" applyNumberFormat="1" applyFont="1" applyFill="1" applyBorder="1" applyAlignment="1" applyProtection="1">
      <alignment horizontal="left" vertical="center" indent="2"/>
      <protection/>
    </xf>
    <xf numFmtId="43" fontId="34" fillId="0" borderId="73" xfId="63" applyNumberFormat="1" applyFont="1" applyFill="1" applyBorder="1" applyAlignment="1" applyProtection="1">
      <alignment horizontal="left" vertical="center" indent="2"/>
      <protection/>
    </xf>
    <xf numFmtId="0" fontId="33" fillId="0" borderId="65" xfId="63" applyNumberFormat="1" applyFont="1" applyFill="1" applyBorder="1" applyAlignment="1" applyProtection="1">
      <alignment horizontal="center" vertical="center"/>
      <protection/>
    </xf>
    <xf numFmtId="0" fontId="33" fillId="0" borderId="34" xfId="63" applyNumberFormat="1" applyFont="1" applyFill="1" applyBorder="1" applyAlignment="1" applyProtection="1">
      <alignment horizontal="center" vertical="center"/>
      <protection/>
    </xf>
    <xf numFmtId="0" fontId="33" fillId="0" borderId="74" xfId="63" applyNumberFormat="1" applyFont="1" applyFill="1" applyBorder="1" applyAlignment="1" applyProtection="1">
      <alignment horizontal="center" vertical="center"/>
      <protection/>
    </xf>
    <xf numFmtId="49" fontId="0" fillId="0" borderId="61" xfId="0" applyNumberFormat="1" applyFont="1" applyFill="1" applyBorder="1" applyAlignment="1" applyProtection="1">
      <alignment vertical="center"/>
      <protection/>
    </xf>
    <xf numFmtId="208" fontId="0" fillId="0" borderId="0" xfId="63" applyNumberFormat="1" applyFont="1" applyFill="1" applyBorder="1" applyAlignment="1" applyProtection="1">
      <alignment vertical="center"/>
      <protection/>
    </xf>
    <xf numFmtId="208" fontId="0" fillId="0" borderId="21" xfId="63" applyNumberFormat="1" applyFont="1" applyFill="1" applyBorder="1" applyAlignment="1" applyProtection="1">
      <alignment vertical="center"/>
      <protection/>
    </xf>
    <xf numFmtId="49" fontId="33" fillId="0" borderId="75" xfId="0" applyNumberFormat="1" applyFont="1" applyFill="1" applyBorder="1" applyAlignment="1" applyProtection="1">
      <alignment horizontal="center" vertical="center" wrapText="1"/>
      <protection/>
    </xf>
    <xf numFmtId="0" fontId="33" fillId="0" borderId="34" xfId="0" applyFont="1" applyFill="1" applyBorder="1" applyAlignment="1" applyProtection="1">
      <alignment horizontal="center" vertical="center" wrapText="1"/>
      <protection/>
    </xf>
    <xf numFmtId="0" fontId="33" fillId="0" borderId="74" xfId="0" applyFont="1" applyFill="1" applyBorder="1" applyAlignment="1" applyProtection="1">
      <alignment horizontal="center" vertical="center" wrapText="1"/>
      <protection/>
    </xf>
    <xf numFmtId="0" fontId="34" fillId="0" borderId="76" xfId="63" applyNumberFormat="1" applyFont="1" applyFill="1" applyBorder="1" applyAlignment="1" applyProtection="1">
      <alignment horizontal="left" vertical="center"/>
      <protection/>
    </xf>
    <xf numFmtId="43" fontId="34" fillId="0" borderId="62" xfId="63" applyNumberFormat="1" applyFont="1" applyFill="1" applyBorder="1" applyAlignment="1" applyProtection="1">
      <alignment horizontal="left" vertical="center" indent="2"/>
      <protection/>
    </xf>
    <xf numFmtId="43" fontId="34" fillId="0" borderId="77" xfId="63" applyNumberFormat="1" applyFont="1" applyFill="1" applyBorder="1" applyAlignment="1" applyProtection="1">
      <alignment horizontal="left" vertical="center" indent="2"/>
      <protection/>
    </xf>
    <xf numFmtId="0" fontId="34" fillId="0" borderId="78" xfId="63" applyNumberFormat="1" applyFont="1" applyFill="1" applyBorder="1" applyAlignment="1" applyProtection="1">
      <alignment horizontal="left" vertical="center"/>
      <protection/>
    </xf>
    <xf numFmtId="0" fontId="34" fillId="0" borderId="79" xfId="63" applyNumberFormat="1" applyFont="1" applyFill="1" applyBorder="1" applyAlignment="1" applyProtection="1">
      <alignment horizontal="left" vertical="center"/>
      <protection/>
    </xf>
    <xf numFmtId="43" fontId="34" fillId="0" borderId="80" xfId="63" applyNumberFormat="1" applyFont="1" applyFill="1" applyBorder="1" applyAlignment="1" applyProtection="1">
      <alignment horizontal="left" vertical="center" indent="2"/>
      <protection/>
    </xf>
    <xf numFmtId="43" fontId="34" fillId="0" borderId="81" xfId="63" applyNumberFormat="1" applyFont="1" applyFill="1" applyBorder="1" applyAlignment="1" applyProtection="1">
      <alignment horizontal="left" vertical="center" indent="2"/>
      <protection/>
    </xf>
    <xf numFmtId="0" fontId="6" fillId="0" borderId="19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177" fontId="6" fillId="0" borderId="19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177" fontId="6" fillId="0" borderId="19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top" wrapText="1"/>
    </xf>
    <xf numFmtId="0" fontId="17" fillId="0" borderId="83" xfId="0" applyFont="1" applyFill="1" applyBorder="1" applyAlignment="1">
      <alignment horizontal="center" vertical="top" wrapText="1"/>
    </xf>
    <xf numFmtId="0" fontId="17" fillId="0" borderId="84" xfId="0" applyFont="1" applyFill="1" applyBorder="1" applyAlignment="1">
      <alignment horizontal="center" vertical="top" wrapText="1"/>
    </xf>
    <xf numFmtId="0" fontId="17" fillId="0" borderId="85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top" wrapText="1"/>
    </xf>
    <xf numFmtId="0" fontId="17" fillId="0" borderId="87" xfId="0" applyFont="1" applyFill="1" applyBorder="1" applyAlignment="1">
      <alignment vertical="top" wrapText="1"/>
    </xf>
    <xf numFmtId="0" fontId="17" fillId="0" borderId="87" xfId="0" applyFont="1" applyFill="1" applyBorder="1" applyAlignment="1">
      <alignment horizontal="center" vertical="top" wrapText="1"/>
    </xf>
    <xf numFmtId="43" fontId="17" fillId="0" borderId="15" xfId="0" applyNumberFormat="1" applyFont="1" applyFill="1" applyBorder="1" applyAlignment="1">
      <alignment wrapText="1"/>
    </xf>
    <xf numFmtId="203" fontId="17" fillId="0" borderId="15" xfId="0" applyNumberFormat="1" applyFont="1" applyFill="1" applyBorder="1" applyAlignment="1">
      <alignment wrapText="1"/>
    </xf>
    <xf numFmtId="4" fontId="17" fillId="0" borderId="15" xfId="0" applyNumberFormat="1" applyFont="1" applyFill="1" applyBorder="1" applyAlignment="1">
      <alignment wrapText="1"/>
    </xf>
    <xf numFmtId="49" fontId="17" fillId="0" borderId="46" xfId="0" applyNumberFormat="1" applyFont="1" applyBorder="1" applyAlignment="1">
      <alignment horizontal="justify" wrapText="1"/>
    </xf>
    <xf numFmtId="0" fontId="17" fillId="0" borderId="47" xfId="0" applyFont="1" applyBorder="1" applyAlignment="1">
      <alignment horizontal="justify" wrapText="1"/>
    </xf>
    <xf numFmtId="0" fontId="17" fillId="0" borderId="88" xfId="0" applyFont="1" applyBorder="1" applyAlignment="1">
      <alignment horizontal="justify" wrapText="1"/>
    </xf>
    <xf numFmtId="0" fontId="37" fillId="0" borderId="0" xfId="0" applyFont="1" applyBorder="1" applyAlignment="1">
      <alignment horizontal="left"/>
    </xf>
    <xf numFmtId="0" fontId="6" fillId="0" borderId="52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5" fillId="0" borderId="89" xfId="0" applyFont="1" applyFill="1" applyBorder="1" applyAlignment="1">
      <alignment wrapText="1"/>
    </xf>
    <xf numFmtId="0" fontId="17" fillId="0" borderId="90" xfId="0" applyFont="1" applyFill="1" applyBorder="1" applyAlignment="1">
      <alignment wrapText="1"/>
    </xf>
    <xf numFmtId="173" fontId="17" fillId="0" borderId="90" xfId="0" applyNumberFormat="1" applyFont="1" applyFill="1" applyBorder="1" applyAlignment="1">
      <alignment horizontal="right" wrapText="1"/>
    </xf>
    <xf numFmtId="0" fontId="17" fillId="0" borderId="90" xfId="0" applyFont="1" applyFill="1" applyBorder="1" applyAlignment="1">
      <alignment horizontal="right" wrapText="1"/>
    </xf>
    <xf numFmtId="0" fontId="17" fillId="0" borderId="91" xfId="0" applyFont="1" applyFill="1" applyBorder="1" applyAlignment="1">
      <alignment horizontal="right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92" xfId="0" applyFont="1" applyFill="1" applyBorder="1" applyAlignment="1">
      <alignment horizontal="center" wrapText="1"/>
    </xf>
    <xf numFmtId="0" fontId="17" fillId="0" borderId="93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wrapText="1"/>
    </xf>
    <xf numFmtId="0" fontId="17" fillId="0" borderId="78" xfId="0" applyFont="1" applyFill="1" applyBorder="1" applyAlignment="1">
      <alignment wrapText="1"/>
    </xf>
    <xf numFmtId="203" fontId="17" fillId="0" borderId="21" xfId="0" applyNumberFormat="1" applyFont="1" applyFill="1" applyBorder="1" applyAlignment="1">
      <alignment wrapText="1"/>
    </xf>
    <xf numFmtId="0" fontId="17" fillId="0" borderId="79" xfId="0" applyFont="1" applyFill="1" applyBorder="1" applyAlignment="1">
      <alignment wrapText="1"/>
    </xf>
    <xf numFmtId="43" fontId="17" fillId="0" borderId="95" xfId="0" applyNumberFormat="1" applyFont="1" applyFill="1" applyBorder="1" applyAlignment="1">
      <alignment wrapText="1"/>
    </xf>
    <xf numFmtId="203" fontId="17" fillId="0" borderId="95" xfId="0" applyNumberFormat="1" applyFont="1" applyFill="1" applyBorder="1" applyAlignment="1">
      <alignment wrapText="1"/>
    </xf>
    <xf numFmtId="4" fontId="17" fillId="0" borderId="95" xfId="0" applyNumberFormat="1" applyFont="1" applyFill="1" applyBorder="1" applyAlignment="1">
      <alignment wrapText="1"/>
    </xf>
    <xf numFmtId="203" fontId="17" fillId="0" borderId="22" xfId="0" applyNumberFormat="1" applyFont="1" applyFill="1" applyBorder="1" applyAlignment="1">
      <alignment wrapText="1"/>
    </xf>
    <xf numFmtId="0" fontId="0" fillId="0" borderId="82" xfId="0" applyFont="1" applyFill="1" applyBorder="1" applyAlignment="1">
      <alignment horizontal="center" vertical="top" wrapText="1"/>
    </xf>
    <xf numFmtId="0" fontId="0" fillId="0" borderId="83" xfId="0" applyFont="1" applyFill="1" applyBorder="1" applyAlignment="1">
      <alignment horizontal="center" vertical="top" wrapText="1"/>
    </xf>
    <xf numFmtId="0" fontId="0" fillId="0" borderId="84" xfId="0" applyFont="1" applyFill="1" applyBorder="1" applyAlignment="1">
      <alignment horizontal="center" vertical="top" wrapText="1"/>
    </xf>
    <xf numFmtId="0" fontId="0" fillId="0" borderId="85" xfId="0" applyFont="1" applyFill="1" applyBorder="1" applyAlignment="1">
      <alignment horizontal="center" vertical="top" wrapText="1"/>
    </xf>
    <xf numFmtId="0" fontId="0" fillId="0" borderId="86" xfId="0" applyFont="1" applyFill="1" applyBorder="1" applyAlignment="1">
      <alignment horizontal="center" vertical="top" wrapText="1"/>
    </xf>
    <xf numFmtId="0" fontId="0" fillId="0" borderId="87" xfId="0" applyFont="1" applyFill="1" applyBorder="1" applyAlignment="1">
      <alignment vertical="top" wrapText="1"/>
    </xf>
    <xf numFmtId="0" fontId="0" fillId="0" borderId="87" xfId="0" applyFont="1" applyFill="1" applyBorder="1" applyAlignment="1">
      <alignment horizontal="center" vertical="top" wrapText="1"/>
    </xf>
    <xf numFmtId="43" fontId="0" fillId="0" borderId="15" xfId="0" applyNumberFormat="1" applyFont="1" applyFill="1" applyBorder="1" applyAlignment="1">
      <alignment wrapText="1"/>
    </xf>
    <xf numFmtId="203" fontId="0" fillId="0" borderId="15" xfId="0" applyNumberFormat="1" applyFont="1" applyFill="1" applyBorder="1" applyAlignment="1">
      <alignment wrapText="1"/>
    </xf>
    <xf numFmtId="49" fontId="0" fillId="0" borderId="46" xfId="0" applyNumberFormat="1" applyFont="1" applyBorder="1" applyAlignment="1">
      <alignment horizontal="justify" wrapText="1"/>
    </xf>
    <xf numFmtId="0" fontId="0" fillId="0" borderId="47" xfId="0" applyFont="1" applyBorder="1" applyAlignment="1">
      <alignment horizontal="justify" wrapText="1"/>
    </xf>
    <xf numFmtId="0" fontId="0" fillId="0" borderId="88" xfId="0" applyFont="1" applyBorder="1" applyAlignment="1">
      <alignment horizontal="justify" wrapText="1"/>
    </xf>
    <xf numFmtId="0" fontId="5" fillId="0" borderId="0" xfId="0" applyFont="1" applyBorder="1" applyAlignment="1">
      <alignment horizontal="left"/>
    </xf>
    <xf numFmtId="0" fontId="5" fillId="0" borderId="52" xfId="0" applyFont="1" applyFill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89" xfId="0" applyFont="1" applyBorder="1" applyAlignment="1">
      <alignment wrapText="1"/>
    </xf>
    <xf numFmtId="0" fontId="0" fillId="0" borderId="90" xfId="0" applyFont="1" applyBorder="1" applyAlignment="1">
      <alignment wrapText="1"/>
    </xf>
    <xf numFmtId="173" fontId="0" fillId="0" borderId="90" xfId="0" applyNumberFormat="1" applyFont="1" applyBorder="1" applyAlignment="1">
      <alignment horizontal="right" wrapText="1"/>
    </xf>
    <xf numFmtId="0" fontId="0" fillId="0" borderId="90" xfId="0" applyFont="1" applyBorder="1" applyAlignment="1">
      <alignment horizontal="right" wrapText="1"/>
    </xf>
    <xf numFmtId="0" fontId="0" fillId="0" borderId="91" xfId="0" applyFont="1" applyBorder="1" applyAlignment="1">
      <alignment horizontal="right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wrapText="1"/>
    </xf>
    <xf numFmtId="0" fontId="0" fillId="0" borderId="93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wrapText="1"/>
    </xf>
    <xf numFmtId="203" fontId="0" fillId="0" borderId="21" xfId="0" applyNumberFormat="1" applyFont="1" applyFill="1" applyBorder="1" applyAlignment="1">
      <alignment wrapText="1"/>
    </xf>
    <xf numFmtId="0" fontId="0" fillId="0" borderId="79" xfId="0" applyFont="1" applyFill="1" applyBorder="1" applyAlignment="1">
      <alignment wrapText="1"/>
    </xf>
    <xf numFmtId="43" fontId="0" fillId="0" borderId="95" xfId="0" applyNumberFormat="1" applyFont="1" applyFill="1" applyBorder="1" applyAlignment="1">
      <alignment wrapText="1"/>
    </xf>
    <xf numFmtId="203" fontId="0" fillId="0" borderId="95" xfId="0" applyNumberFormat="1" applyFont="1" applyFill="1" applyBorder="1" applyAlignment="1">
      <alignment wrapText="1"/>
    </xf>
    <xf numFmtId="203" fontId="0" fillId="0" borderId="22" xfId="0" applyNumberFormat="1" applyFont="1" applyFill="1" applyBorder="1" applyAlignment="1">
      <alignment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 wrapText="1"/>
    </xf>
    <xf numFmtId="173" fontId="0" fillId="0" borderId="100" xfId="0" applyNumberFormat="1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203" fontId="0" fillId="0" borderId="19" xfId="0" applyNumberFormat="1" applyFont="1" applyFill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10" fontId="0" fillId="0" borderId="66" xfId="0" applyNumberFormat="1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43" fontId="0" fillId="0" borderId="68" xfId="0" applyNumberFormat="1" applyFont="1" applyFill="1" applyBorder="1" applyAlignment="1">
      <alignment horizontal="center" vertical="center" wrapText="1"/>
    </xf>
    <xf numFmtId="203" fontId="0" fillId="0" borderId="68" xfId="0" applyNumberFormat="1" applyFont="1" applyFill="1" applyBorder="1" applyAlignment="1">
      <alignment horizontal="center" vertical="center" wrapText="1"/>
    </xf>
    <xf numFmtId="10" fontId="0" fillId="0" borderId="68" xfId="0" applyNumberFormat="1" applyFont="1" applyFill="1" applyBorder="1" applyAlignment="1">
      <alignment horizontal="center" vertical="center" wrapText="1"/>
    </xf>
    <xf numFmtId="10" fontId="0" fillId="0" borderId="69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10" fontId="0" fillId="0" borderId="15" xfId="0" applyNumberFormat="1" applyFont="1" applyFill="1" applyBorder="1" applyAlignment="1">
      <alignment horizontal="right" vertical="top"/>
    </xf>
    <xf numFmtId="43" fontId="0" fillId="0" borderId="15" xfId="0" applyNumberFormat="1" applyFont="1" applyFill="1" applyBorder="1" applyAlignment="1">
      <alignment horizontal="right" vertical="top"/>
    </xf>
    <xf numFmtId="10" fontId="0" fillId="0" borderId="15" xfId="0" applyNumberFormat="1" applyFont="1" applyFill="1" applyBorder="1" applyAlignment="1">
      <alignment horizontal="right" vertical="top" wrapText="1"/>
    </xf>
    <xf numFmtId="43" fontId="0" fillId="0" borderId="15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/>
    </xf>
    <xf numFmtId="0" fontId="0" fillId="0" borderId="90" xfId="0" applyFont="1" applyFill="1" applyBorder="1" applyAlignment="1">
      <alignment horizontal="left"/>
    </xf>
    <xf numFmtId="173" fontId="0" fillId="0" borderId="91" xfId="0" applyNumberFormat="1" applyFont="1" applyFill="1" applyBorder="1" applyAlignment="1">
      <alignment horizontal="left"/>
    </xf>
    <xf numFmtId="0" fontId="0" fillId="0" borderId="78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/>
    </xf>
    <xf numFmtId="10" fontId="0" fillId="0" borderId="21" xfId="0" applyNumberFormat="1" applyFont="1" applyFill="1" applyBorder="1" applyAlignment="1">
      <alignment horizontal="right" vertical="top"/>
    </xf>
    <xf numFmtId="0" fontId="0" fillId="0" borderId="71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9" xfId="0" applyFont="1" applyFill="1" applyBorder="1" applyAlignment="1">
      <alignment/>
    </xf>
    <xf numFmtId="43" fontId="0" fillId="0" borderId="95" xfId="0" applyNumberFormat="1" applyFont="1" applyFill="1" applyBorder="1" applyAlignment="1">
      <alignment horizontal="right" vertical="top"/>
    </xf>
    <xf numFmtId="43" fontId="0" fillId="0" borderId="95" xfId="0" applyNumberFormat="1" applyFont="1" applyFill="1" applyBorder="1" applyAlignment="1">
      <alignment horizontal="right" wrapText="1"/>
    </xf>
    <xf numFmtId="10" fontId="0" fillId="0" borderId="95" xfId="0" applyNumberFormat="1" applyFont="1" applyFill="1" applyBorder="1" applyAlignment="1">
      <alignment horizontal="right" vertical="top"/>
    </xf>
    <xf numFmtId="43" fontId="0" fillId="0" borderId="95" xfId="0" applyNumberFormat="1" applyFont="1" applyFill="1" applyBorder="1" applyAlignment="1">
      <alignment horizontal="right"/>
    </xf>
    <xf numFmtId="10" fontId="0" fillId="0" borderId="22" xfId="0" applyNumberFormat="1" applyFont="1" applyFill="1" applyBorder="1" applyAlignment="1">
      <alignment horizontal="right" vertical="top"/>
    </xf>
    <xf numFmtId="0" fontId="16" fillId="0" borderId="46" xfId="0" applyFont="1" applyFill="1" applyBorder="1" applyAlignment="1">
      <alignment wrapText="1"/>
    </xf>
    <xf numFmtId="0" fontId="5" fillId="0" borderId="88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00" xfId="0" applyFont="1" applyFill="1" applyBorder="1" applyAlignment="1">
      <alignment wrapText="1"/>
    </xf>
    <xf numFmtId="173" fontId="15" fillId="0" borderId="100" xfId="0" applyNumberFormat="1" applyFont="1" applyFill="1" applyBorder="1" applyAlignment="1">
      <alignment horizontal="right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05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wrapText="1"/>
    </xf>
    <xf numFmtId="10" fontId="2" fillId="0" borderId="15" xfId="0" applyNumberFormat="1" applyFont="1" applyFill="1" applyBorder="1" applyAlignment="1">
      <alignment wrapText="1"/>
    </xf>
    <xf numFmtId="10" fontId="2" fillId="0" borderId="21" xfId="0" applyNumberFormat="1" applyFont="1" applyFill="1" applyBorder="1" applyAlignment="1">
      <alignment wrapText="1"/>
    </xf>
    <xf numFmtId="0" fontId="15" fillId="0" borderId="71" xfId="0" applyFont="1" applyFill="1" applyBorder="1" applyAlignment="1">
      <alignment wrapText="1"/>
    </xf>
    <xf numFmtId="10" fontId="2" fillId="0" borderId="17" xfId="0" applyNumberFormat="1" applyFont="1" applyFill="1" applyBorder="1" applyAlignment="1">
      <alignment wrapText="1"/>
    </xf>
    <xf numFmtId="10" fontId="2" fillId="0" borderId="72" xfId="0" applyNumberFormat="1" applyFont="1" applyFill="1" applyBorder="1" applyAlignment="1">
      <alignment wrapText="1"/>
    </xf>
    <xf numFmtId="0" fontId="16" fillId="0" borderId="79" xfId="0" applyFont="1" applyFill="1" applyBorder="1" applyAlignment="1">
      <alignment wrapText="1"/>
    </xf>
    <xf numFmtId="177" fontId="2" fillId="0" borderId="95" xfId="0" applyNumberFormat="1" applyFont="1" applyFill="1" applyBorder="1" applyAlignment="1">
      <alignment wrapText="1"/>
    </xf>
    <xf numFmtId="10" fontId="2" fillId="0" borderId="95" xfId="0" applyNumberFormat="1" applyFont="1" applyFill="1" applyBorder="1" applyAlignment="1">
      <alignment wrapText="1"/>
    </xf>
    <xf numFmtId="10" fontId="2" fillId="0" borderId="22" xfId="0" applyNumberFormat="1" applyFont="1" applyFill="1" applyBorder="1" applyAlignment="1">
      <alignment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05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top" wrapText="1"/>
    </xf>
    <xf numFmtId="177" fontId="17" fillId="0" borderId="15" xfId="0" applyNumberFormat="1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177" fontId="17" fillId="0" borderId="17" xfId="0" applyNumberFormat="1" applyFont="1" applyFill="1" applyBorder="1" applyAlignment="1">
      <alignment vertical="top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vertical="top" wrapText="1"/>
      <protection locked="0"/>
    </xf>
    <xf numFmtId="0" fontId="17" fillId="0" borderId="48" xfId="0" applyFont="1" applyFill="1" applyBorder="1" applyAlignment="1" applyProtection="1">
      <alignment vertical="top" wrapText="1"/>
      <protection locked="0"/>
    </xf>
    <xf numFmtId="177" fontId="17" fillId="0" borderId="19" xfId="0" applyNumberFormat="1" applyFont="1" applyFill="1" applyBorder="1" applyAlignment="1">
      <alignment vertical="top" wrapText="1"/>
    </xf>
    <xf numFmtId="0" fontId="17" fillId="0" borderId="35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177" fontId="17" fillId="44" borderId="1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top" wrapText="1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 wrapText="1"/>
    </xf>
    <xf numFmtId="0" fontId="0" fillId="0" borderId="89" xfId="0" applyFont="1" applyFill="1" applyBorder="1" applyAlignment="1">
      <alignment horizontal="left" wrapText="1"/>
    </xf>
    <xf numFmtId="173" fontId="0" fillId="0" borderId="91" xfId="0" applyNumberFormat="1" applyFont="1" applyFill="1" applyBorder="1" applyAlignment="1">
      <alignment horizontal="right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wrapText="1"/>
    </xf>
    <xf numFmtId="0" fontId="0" fillId="0" borderId="73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0" fontId="0" fillId="0" borderId="73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wrapText="1"/>
    </xf>
    <xf numFmtId="0" fontId="0" fillId="0" borderId="54" xfId="0" applyFont="1" applyFill="1" applyBorder="1" applyAlignment="1">
      <alignment wrapText="1"/>
    </xf>
    <xf numFmtId="0" fontId="0" fillId="0" borderId="106" xfId="0" applyFont="1" applyFill="1" applyBorder="1" applyAlignment="1">
      <alignment wrapText="1"/>
    </xf>
    <xf numFmtId="177" fontId="0" fillId="0" borderId="106" xfId="0" applyNumberFormat="1" applyFont="1" applyFill="1" applyBorder="1" applyAlignment="1">
      <alignment wrapText="1"/>
    </xf>
    <xf numFmtId="0" fontId="0" fillId="0" borderId="107" xfId="0" applyFont="1" applyFill="1" applyBorder="1" applyAlignment="1">
      <alignment horizontal="center" wrapText="1"/>
    </xf>
    <xf numFmtId="0" fontId="0" fillId="0" borderId="7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top" wrapText="1"/>
    </xf>
    <xf numFmtId="177" fontId="6" fillId="0" borderId="3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7" fontId="6" fillId="0" borderId="29" xfId="0" applyNumberFormat="1" applyFont="1" applyFill="1" applyBorder="1" applyAlignment="1">
      <alignment vertical="top" wrapText="1"/>
    </xf>
    <xf numFmtId="177" fontId="6" fillId="0" borderId="29" xfId="0" applyNumberFormat="1" applyFont="1" applyFill="1" applyBorder="1" applyAlignment="1">
      <alignment horizontal="right" vertical="top" wrapText="1"/>
    </xf>
    <xf numFmtId="0" fontId="17" fillId="0" borderId="19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73" fontId="17" fillId="0" borderId="0" xfId="0" applyNumberFormat="1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77" fontId="17" fillId="0" borderId="19" xfId="0" applyNumberFormat="1" applyFont="1" applyFill="1" applyBorder="1" applyAlignment="1">
      <alignment horizontal="left" vertical="center" wrapText="1"/>
    </xf>
    <xf numFmtId="177" fontId="6" fillId="0" borderId="48" xfId="0" applyNumberFormat="1" applyFont="1" applyFill="1" applyBorder="1" applyAlignment="1">
      <alignment horizontal="left" vertical="center" wrapText="1"/>
    </xf>
    <xf numFmtId="177" fontId="6" fillId="0" borderId="19" xfId="0" applyNumberFormat="1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21" fillId="45" borderId="61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0" fontId="0" fillId="45" borderId="21" xfId="0" applyFill="1" applyBorder="1" applyAlignment="1">
      <alignment/>
    </xf>
    <xf numFmtId="0" fontId="20" fillId="45" borderId="61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21" xfId="0" applyFill="1" applyBorder="1" applyAlignment="1">
      <alignment/>
    </xf>
    <xf numFmtId="0" fontId="21" fillId="45" borderId="61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0" fontId="21" fillId="45" borderId="61" xfId="0" applyFont="1" applyFill="1" applyBorder="1" applyAlignment="1">
      <alignment horizontal="left"/>
    </xf>
    <xf numFmtId="0" fontId="21" fillId="45" borderId="0" xfId="0" applyFont="1" applyFill="1" applyBorder="1" applyAlignment="1">
      <alignment horizontal="left"/>
    </xf>
    <xf numFmtId="0" fontId="21" fillId="45" borderId="21" xfId="0" applyFont="1" applyFill="1" applyBorder="1" applyAlignment="1">
      <alignment horizontal="left"/>
    </xf>
    <xf numFmtId="0" fontId="0" fillId="45" borderId="60" xfId="0" applyFont="1" applyFill="1" applyBorder="1" applyAlignment="1">
      <alignment/>
    </xf>
    <xf numFmtId="0" fontId="0" fillId="45" borderId="40" xfId="0" applyFill="1" applyBorder="1" applyAlignment="1">
      <alignment/>
    </xf>
    <xf numFmtId="0" fontId="0" fillId="45" borderId="22" xfId="0" applyFill="1" applyBorder="1" applyAlignment="1">
      <alignment/>
    </xf>
    <xf numFmtId="0" fontId="20" fillId="45" borderId="39" xfId="0" applyFont="1" applyFill="1" applyBorder="1" applyAlignment="1">
      <alignment horizontal="center" vertical="center" wrapText="1"/>
    </xf>
    <xf numFmtId="0" fontId="20" fillId="45" borderId="42" xfId="0" applyFont="1" applyFill="1" applyBorder="1" applyAlignment="1">
      <alignment horizontal="center" vertical="center" wrapText="1"/>
    </xf>
    <xf numFmtId="49" fontId="20" fillId="45" borderId="39" xfId="0" applyNumberFormat="1" applyFont="1" applyFill="1" applyBorder="1" applyAlignment="1">
      <alignment horizontal="center" vertical="center" wrapText="1"/>
    </xf>
    <xf numFmtId="3" fontId="20" fillId="45" borderId="42" xfId="0" applyNumberFormat="1" applyFont="1" applyFill="1" applyBorder="1" applyAlignment="1">
      <alignment horizontal="center" vertical="center" wrapText="1"/>
    </xf>
    <xf numFmtId="4" fontId="20" fillId="45" borderId="42" xfId="0" applyNumberFormat="1" applyFont="1" applyFill="1" applyBorder="1" applyAlignment="1">
      <alignment horizontal="center" vertical="center" wrapText="1"/>
    </xf>
    <xf numFmtId="0" fontId="15" fillId="45" borderId="0" xfId="0" applyFont="1" applyFill="1" applyAlignment="1">
      <alignment/>
    </xf>
    <xf numFmtId="0" fontId="0" fillId="45" borderId="0" xfId="0" applyFill="1" applyAlignment="1">
      <alignment/>
    </xf>
    <xf numFmtId="0" fontId="20" fillId="45" borderId="39" xfId="0" applyFont="1" applyFill="1" applyBorder="1" applyAlignment="1">
      <alignment horizontal="center" vertical="center" wrapText="1"/>
    </xf>
    <xf numFmtId="0" fontId="20" fillId="45" borderId="42" xfId="0" applyFont="1" applyFill="1" applyBorder="1" applyAlignment="1">
      <alignment horizontal="center" vertical="center" wrapText="1"/>
    </xf>
    <xf numFmtId="0" fontId="0" fillId="45" borderId="60" xfId="0" applyFont="1" applyFill="1" applyBorder="1" applyAlignment="1">
      <alignment horizontal="left"/>
    </xf>
    <xf numFmtId="0" fontId="0" fillId="45" borderId="40" xfId="0" applyFont="1" applyFill="1" applyBorder="1" applyAlignment="1">
      <alignment horizontal="left"/>
    </xf>
    <xf numFmtId="0" fontId="0" fillId="45" borderId="22" xfId="0" applyFont="1" applyFill="1" applyBorder="1" applyAlignment="1">
      <alignment horizontal="left"/>
    </xf>
    <xf numFmtId="0" fontId="20" fillId="45" borderId="41" xfId="0" applyFont="1" applyFill="1" applyBorder="1" applyAlignment="1">
      <alignment horizontal="center" vertical="center" wrapText="1"/>
    </xf>
    <xf numFmtId="3" fontId="20" fillId="45" borderId="39" xfId="0" applyNumberFormat="1" applyFont="1" applyFill="1" applyBorder="1" applyAlignment="1">
      <alignment horizontal="center" vertical="center" wrapText="1"/>
    </xf>
    <xf numFmtId="4" fontId="20" fillId="45" borderId="39" xfId="0" applyNumberFormat="1" applyFont="1" applyFill="1" applyBorder="1" applyAlignment="1">
      <alignment horizontal="center" vertical="center" wrapText="1"/>
    </xf>
    <xf numFmtId="3" fontId="20" fillId="45" borderId="41" xfId="0" applyNumberFormat="1" applyFont="1" applyFill="1" applyBorder="1" applyAlignment="1">
      <alignment horizontal="center" vertical="center" wrapText="1"/>
    </xf>
    <xf numFmtId="0" fontId="0" fillId="45" borderId="39" xfId="0" applyFill="1" applyBorder="1" applyAlignment="1">
      <alignment horizontal="center"/>
    </xf>
    <xf numFmtId="3" fontId="0" fillId="45" borderId="42" xfId="0" applyNumberFormat="1" applyFill="1" applyBorder="1" applyAlignment="1">
      <alignment horizontal="center"/>
    </xf>
    <xf numFmtId="0" fontId="0" fillId="45" borderId="40" xfId="0" applyFill="1" applyBorder="1" applyAlignment="1">
      <alignment horizontal="left"/>
    </xf>
    <xf numFmtId="0" fontId="0" fillId="45" borderId="22" xfId="0" applyFill="1" applyBorder="1" applyAlignment="1">
      <alignment horizontal="left"/>
    </xf>
    <xf numFmtId="9" fontId="0" fillId="45" borderId="39" xfId="0" applyNumberFormat="1" applyFill="1" applyBorder="1" applyAlignment="1">
      <alignment horizontal="center" vertical="center"/>
    </xf>
    <xf numFmtId="9" fontId="20" fillId="45" borderId="41" xfId="0" applyNumberFormat="1" applyFont="1" applyFill="1" applyBorder="1" applyAlignment="1">
      <alignment horizontal="center" vertical="center" wrapText="1"/>
    </xf>
    <xf numFmtId="0" fontId="21" fillId="45" borderId="61" xfId="0" applyFont="1" applyFill="1" applyBorder="1" applyAlignment="1">
      <alignment horizontal="left" wrapText="1"/>
    </xf>
    <xf numFmtId="49" fontId="0" fillId="45" borderId="39" xfId="0" applyNumberFormat="1" applyFont="1" applyFill="1" applyBorder="1" applyAlignment="1">
      <alignment horizontal="center" vertical="center"/>
    </xf>
    <xf numFmtId="49" fontId="20" fillId="45" borderId="41" xfId="0" applyNumberFormat="1" applyFont="1" applyFill="1" applyBorder="1" applyAlignment="1">
      <alignment horizontal="center" vertical="center" wrapText="1"/>
    </xf>
    <xf numFmtId="0" fontId="20" fillId="45" borderId="39" xfId="0" applyFont="1" applyFill="1" applyBorder="1" applyAlignment="1">
      <alignment vertical="center" wrapText="1"/>
    </xf>
    <xf numFmtId="0" fontId="20" fillId="45" borderId="42" xfId="0" applyFont="1" applyFill="1" applyBorder="1" applyAlignment="1">
      <alignment vertical="center" wrapText="1"/>
    </xf>
    <xf numFmtId="0" fontId="5" fillId="45" borderId="56" xfId="0" applyFont="1" applyFill="1" applyBorder="1" applyAlignment="1">
      <alignment horizontal="center"/>
    </xf>
    <xf numFmtId="0" fontId="5" fillId="45" borderId="54" xfId="0" applyFont="1" applyFill="1" applyBorder="1" applyAlignment="1">
      <alignment horizontal="center"/>
    </xf>
    <xf numFmtId="0" fontId="5" fillId="45" borderId="57" xfId="0" applyFont="1" applyFill="1" applyBorder="1" applyAlignment="1">
      <alignment horizontal="center"/>
    </xf>
    <xf numFmtId="0" fontId="0" fillId="45" borderId="0" xfId="0" applyFont="1" applyFill="1" applyAlignment="1">
      <alignment/>
    </xf>
    <xf numFmtId="0" fontId="0" fillId="45" borderId="61" xfId="0" applyFont="1" applyFill="1" applyBorder="1" applyAlignment="1">
      <alignment horizontal="center" vertical="center"/>
    </xf>
    <xf numFmtId="49" fontId="0" fillId="45" borderId="0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169" fontId="0" fillId="45" borderId="0" xfId="0" applyNumberFormat="1" applyFont="1" applyFill="1" applyBorder="1" applyAlignment="1">
      <alignment horizontal="center" vertical="center"/>
    </xf>
    <xf numFmtId="0" fontId="0" fillId="45" borderId="21" xfId="0" applyFont="1" applyFill="1" applyBorder="1" applyAlignment="1">
      <alignment horizontal="center" vertical="center"/>
    </xf>
    <xf numFmtId="0" fontId="5" fillId="45" borderId="61" xfId="0" applyFont="1" applyFill="1" applyBorder="1" applyAlignment="1">
      <alignment/>
    </xf>
    <xf numFmtId="49" fontId="5" fillId="45" borderId="0" xfId="0" applyNumberFormat="1" applyFont="1" applyFill="1" applyBorder="1" applyAlignment="1">
      <alignment horizontal="center"/>
    </xf>
    <xf numFmtId="49" fontId="5" fillId="45" borderId="0" xfId="0" applyNumberFormat="1" applyFont="1" applyFill="1" applyBorder="1" applyAlignment="1">
      <alignment/>
    </xf>
    <xf numFmtId="189" fontId="5" fillId="45" borderId="0" xfId="46" applyFont="1" applyFill="1" applyBorder="1" applyAlignment="1">
      <alignment/>
    </xf>
    <xf numFmtId="169" fontId="5" fillId="45" borderId="0" xfId="0" applyNumberFormat="1" applyFont="1" applyFill="1" applyBorder="1" applyAlignment="1">
      <alignment/>
    </xf>
    <xf numFmtId="0" fontId="5" fillId="45" borderId="0" xfId="0" applyFont="1" applyFill="1" applyBorder="1" applyAlignment="1">
      <alignment/>
    </xf>
    <xf numFmtId="169" fontId="5" fillId="45" borderId="21" xfId="0" applyNumberFormat="1" applyFont="1" applyFill="1" applyBorder="1" applyAlignment="1">
      <alignment/>
    </xf>
    <xf numFmtId="0" fontId="0" fillId="45" borderId="61" xfId="0" applyFont="1" applyFill="1" applyBorder="1" applyAlignment="1">
      <alignment/>
    </xf>
    <xf numFmtId="49" fontId="0" fillId="45" borderId="0" xfId="0" applyNumberFormat="1" applyFont="1" applyFill="1" applyBorder="1" applyAlignment="1">
      <alignment horizontal="center"/>
    </xf>
    <xf numFmtId="49" fontId="0" fillId="45" borderId="0" xfId="0" applyNumberFormat="1" applyFont="1" applyFill="1" applyBorder="1" applyAlignment="1">
      <alignment/>
    </xf>
    <xf numFmtId="189" fontId="0" fillId="45" borderId="0" xfId="46" applyFont="1" applyFill="1" applyBorder="1" applyAlignment="1">
      <alignment/>
    </xf>
    <xf numFmtId="169" fontId="0" fillId="45" borderId="0" xfId="0" applyNumberFormat="1" applyFont="1" applyFill="1" applyBorder="1" applyAlignment="1">
      <alignment/>
    </xf>
    <xf numFmtId="0" fontId="0" fillId="45" borderId="0" xfId="0" applyFont="1" applyFill="1" applyBorder="1" applyAlignment="1">
      <alignment/>
    </xf>
    <xf numFmtId="169" fontId="0" fillId="45" borderId="21" xfId="0" applyNumberFormat="1" applyFont="1" applyFill="1" applyBorder="1" applyAlignment="1">
      <alignment/>
    </xf>
    <xf numFmtId="0" fontId="0" fillId="45" borderId="56" xfId="0" applyFont="1" applyFill="1" applyBorder="1" applyAlignment="1">
      <alignment/>
    </xf>
    <xf numFmtId="0" fontId="0" fillId="45" borderId="54" xfId="0" applyFont="1" applyFill="1" applyBorder="1" applyAlignment="1">
      <alignment/>
    </xf>
    <xf numFmtId="0" fontId="0" fillId="45" borderId="57" xfId="0" applyFont="1" applyFill="1" applyBorder="1" applyAlignment="1">
      <alignment/>
    </xf>
    <xf numFmtId="169" fontId="5" fillId="45" borderId="108" xfId="0" applyNumberFormat="1" applyFont="1" applyFill="1" applyBorder="1" applyAlignment="1">
      <alignment/>
    </xf>
    <xf numFmtId="49" fontId="0" fillId="45" borderId="0" xfId="0" applyNumberFormat="1" applyFont="1" applyFill="1" applyAlignment="1">
      <alignment horizontal="center"/>
    </xf>
    <xf numFmtId="49" fontId="0" fillId="45" borderId="0" xfId="0" applyNumberFormat="1" applyFont="1" applyFill="1" applyAlignment="1">
      <alignment/>
    </xf>
    <xf numFmtId="169" fontId="0" fillId="45" borderId="0" xfId="0" applyNumberFormat="1" applyFont="1" applyFill="1" applyAlignment="1">
      <alignment/>
    </xf>
    <xf numFmtId="0" fontId="5" fillId="45" borderId="56" xfId="0" applyFont="1" applyFill="1" applyBorder="1" applyAlignment="1">
      <alignment horizontal="center"/>
    </xf>
    <xf numFmtId="0" fontId="0" fillId="45" borderId="58" xfId="0" applyFont="1" applyFill="1" applyBorder="1" applyAlignment="1">
      <alignment horizontal="center" vertical="center"/>
    </xf>
    <xf numFmtId="49" fontId="0" fillId="45" borderId="59" xfId="0" applyNumberFormat="1" applyFont="1" applyFill="1" applyBorder="1" applyAlignment="1">
      <alignment horizontal="center" vertical="center"/>
    </xf>
    <xf numFmtId="49" fontId="0" fillId="45" borderId="59" xfId="0" applyNumberFormat="1" applyFont="1" applyFill="1" applyBorder="1" applyAlignment="1">
      <alignment horizontal="center" vertical="center"/>
    </xf>
    <xf numFmtId="0" fontId="0" fillId="45" borderId="59" xfId="0" applyFont="1" applyFill="1" applyBorder="1" applyAlignment="1">
      <alignment horizontal="center" vertical="center"/>
    </xf>
    <xf numFmtId="169" fontId="0" fillId="45" borderId="59" xfId="0" applyNumberFormat="1" applyFont="1" applyFill="1" applyBorder="1" applyAlignment="1">
      <alignment horizontal="center" vertical="center"/>
    </xf>
    <xf numFmtId="0" fontId="0" fillId="45" borderId="20" xfId="0" applyFont="1" applyFill="1" applyBorder="1" applyAlignment="1">
      <alignment horizontal="center" vertical="center"/>
    </xf>
    <xf numFmtId="0" fontId="0" fillId="45" borderId="0" xfId="0" applyFont="1" applyFill="1" applyAlignment="1">
      <alignment horizontal="center" vertical="center"/>
    </xf>
    <xf numFmtId="0" fontId="5" fillId="45" borderId="0" xfId="0" applyFont="1" applyFill="1" applyAlignment="1">
      <alignment/>
    </xf>
    <xf numFmtId="0" fontId="0" fillId="45" borderId="0" xfId="0" applyFont="1" applyFill="1" applyAlignment="1">
      <alignment/>
    </xf>
    <xf numFmtId="169" fontId="0" fillId="45" borderId="0" xfId="0" applyNumberFormat="1" applyFont="1" applyFill="1" applyAlignment="1">
      <alignment/>
    </xf>
    <xf numFmtId="0" fontId="0" fillId="45" borderId="0" xfId="0" applyFont="1" applyFill="1" applyAlignment="1">
      <alignment/>
    </xf>
    <xf numFmtId="0" fontId="5" fillId="45" borderId="61" xfId="0" applyFont="1" applyFill="1" applyBorder="1" applyAlignment="1">
      <alignment/>
    </xf>
    <xf numFmtId="49" fontId="5" fillId="45" borderId="0" xfId="0" applyNumberFormat="1" applyFont="1" applyFill="1" applyBorder="1" applyAlignment="1">
      <alignment horizontal="center"/>
    </xf>
    <xf numFmtId="49" fontId="5" fillId="45" borderId="0" xfId="0" applyNumberFormat="1" applyFont="1" applyFill="1" applyBorder="1" applyAlignment="1">
      <alignment/>
    </xf>
    <xf numFmtId="0" fontId="5" fillId="45" borderId="0" xfId="0" applyFont="1" applyFill="1" applyBorder="1" applyAlignment="1">
      <alignment/>
    </xf>
    <xf numFmtId="169" fontId="5" fillId="45" borderId="0" xfId="0" applyNumberFormat="1" applyFont="1" applyFill="1" applyBorder="1" applyAlignment="1">
      <alignment/>
    </xf>
    <xf numFmtId="169" fontId="5" fillId="45" borderId="21" xfId="0" applyNumberFormat="1" applyFont="1" applyFill="1" applyBorder="1" applyAlignment="1">
      <alignment/>
    </xf>
    <xf numFmtId="169" fontId="5" fillId="45" borderId="0" xfId="0" applyNumberFormat="1" applyFont="1" applyFill="1" applyAlignment="1">
      <alignment/>
    </xf>
    <xf numFmtId="0" fontId="5" fillId="45" borderId="0" xfId="0" applyFont="1" applyFill="1" applyAlignment="1">
      <alignment/>
    </xf>
    <xf numFmtId="49" fontId="0" fillId="45" borderId="0" xfId="0" applyNumberFormat="1" applyFont="1" applyFill="1" applyBorder="1" applyAlignment="1">
      <alignment horizontal="center"/>
    </xf>
    <xf numFmtId="49" fontId="0" fillId="45" borderId="0" xfId="0" applyNumberFormat="1" applyFont="1" applyFill="1" applyBorder="1" applyAlignment="1">
      <alignment/>
    </xf>
    <xf numFmtId="0" fontId="0" fillId="45" borderId="0" xfId="0" applyFont="1" applyFill="1" applyBorder="1" applyAlignment="1">
      <alignment/>
    </xf>
    <xf numFmtId="169" fontId="0" fillId="45" borderId="0" xfId="0" applyNumberFormat="1" applyFont="1" applyFill="1" applyBorder="1" applyAlignment="1">
      <alignment/>
    </xf>
    <xf numFmtId="169" fontId="0" fillId="45" borderId="21" xfId="0" applyNumberFormat="1" applyFont="1" applyFill="1" applyBorder="1" applyAlignment="1">
      <alignment/>
    </xf>
    <xf numFmtId="169" fontId="0" fillId="45" borderId="0" xfId="0" applyNumberFormat="1" applyFont="1" applyFill="1" applyAlignment="1">
      <alignment/>
    </xf>
    <xf numFmtId="0" fontId="0" fillId="45" borderId="0" xfId="0" applyFont="1" applyFill="1" applyAlignment="1">
      <alignment/>
    </xf>
    <xf numFmtId="49" fontId="0" fillId="45" borderId="40" xfId="0" applyNumberFormat="1" applyFont="1" applyFill="1" applyBorder="1" applyAlignment="1">
      <alignment horizontal="center"/>
    </xf>
    <xf numFmtId="49" fontId="0" fillId="45" borderId="40" xfId="0" applyNumberFormat="1" applyFont="1" applyFill="1" applyBorder="1" applyAlignment="1">
      <alignment/>
    </xf>
    <xf numFmtId="0" fontId="0" fillId="45" borderId="40" xfId="0" applyFont="1" applyFill="1" applyBorder="1" applyAlignment="1">
      <alignment/>
    </xf>
    <xf numFmtId="169" fontId="0" fillId="45" borderId="40" xfId="0" applyNumberFormat="1" applyFont="1" applyFill="1" applyBorder="1" applyAlignment="1">
      <alignment/>
    </xf>
    <xf numFmtId="169" fontId="0" fillId="45" borderId="22" xfId="0" applyNumberFormat="1" applyFont="1" applyFill="1" applyBorder="1" applyAlignment="1">
      <alignment/>
    </xf>
    <xf numFmtId="169" fontId="5" fillId="45" borderId="108" xfId="0" applyNumberFormat="1" applyFont="1" applyFill="1" applyBorder="1" applyAlignment="1">
      <alignment/>
    </xf>
    <xf numFmtId="49" fontId="0" fillId="45" borderId="61" xfId="0" applyNumberFormat="1" applyFont="1" applyFill="1" applyBorder="1" applyAlignment="1">
      <alignment/>
    </xf>
    <xf numFmtId="49" fontId="0" fillId="45" borderId="21" xfId="0" applyNumberFormat="1" applyFont="1" applyFill="1" applyBorder="1" applyAlignment="1">
      <alignment/>
    </xf>
    <xf numFmtId="49" fontId="0" fillId="45" borderId="0" xfId="0" applyNumberFormat="1" applyFont="1" applyFill="1" applyAlignment="1">
      <alignment/>
    </xf>
    <xf numFmtId="49" fontId="5" fillId="45" borderId="61" xfId="0" applyNumberFormat="1" applyFont="1" applyFill="1" applyBorder="1" applyAlignment="1">
      <alignment horizontal="left"/>
    </xf>
    <xf numFmtId="49" fontId="0" fillId="45" borderId="61" xfId="0" applyNumberFormat="1" applyFont="1" applyFill="1" applyBorder="1" applyAlignment="1">
      <alignment horizontal="left"/>
    </xf>
    <xf numFmtId="49" fontId="5" fillId="45" borderId="61" xfId="0" applyNumberFormat="1" applyFont="1" applyFill="1" applyBorder="1" applyAlignment="1">
      <alignment/>
    </xf>
    <xf numFmtId="49" fontId="0" fillId="45" borderId="60" xfId="0" applyNumberFormat="1" applyFont="1" applyFill="1" applyBorder="1" applyAlignment="1">
      <alignment/>
    </xf>
    <xf numFmtId="49" fontId="0" fillId="45" borderId="40" xfId="0" applyNumberFormat="1" applyFont="1" applyFill="1" applyBorder="1" applyAlignment="1">
      <alignment horizontal="center"/>
    </xf>
    <xf numFmtId="49" fontId="0" fillId="45" borderId="40" xfId="0" applyNumberFormat="1" applyFont="1" applyFill="1" applyBorder="1" applyAlignment="1">
      <alignment/>
    </xf>
    <xf numFmtId="0" fontId="0" fillId="45" borderId="40" xfId="0" applyFont="1" applyFill="1" applyBorder="1" applyAlignment="1">
      <alignment/>
    </xf>
    <xf numFmtId="169" fontId="0" fillId="45" borderId="40" xfId="0" applyNumberFormat="1" applyFont="1" applyFill="1" applyBorder="1" applyAlignment="1">
      <alignment/>
    </xf>
    <xf numFmtId="189" fontId="0" fillId="45" borderId="40" xfId="46" applyFont="1" applyFill="1" applyBorder="1" applyAlignment="1">
      <alignment/>
    </xf>
    <xf numFmtId="169" fontId="0" fillId="45" borderId="22" xfId="0" applyNumberFormat="1" applyFont="1" applyFill="1" applyBorder="1" applyAlignment="1">
      <alignment/>
    </xf>
    <xf numFmtId="49" fontId="0" fillId="45" borderId="0" xfId="0" applyNumberFormat="1" applyFont="1" applyFill="1" applyBorder="1" applyAlignment="1">
      <alignment horizontal="center" vertical="center"/>
    </xf>
    <xf numFmtId="49" fontId="0" fillId="45" borderId="60" xfId="0" applyNumberFormat="1" applyFont="1" applyFill="1" applyBorder="1" applyAlignment="1">
      <alignment horizontal="left"/>
    </xf>
    <xf numFmtId="169" fontId="0" fillId="45" borderId="40" xfId="0" applyNumberFormat="1" applyFont="1" applyFill="1" applyBorder="1" applyAlignment="1">
      <alignment/>
    </xf>
    <xf numFmtId="0" fontId="0" fillId="45" borderId="40" xfId="0" applyFont="1" applyFill="1" applyBorder="1" applyAlignment="1">
      <alignment/>
    </xf>
    <xf numFmtId="0" fontId="0" fillId="45" borderId="22" xfId="0" applyFont="1" applyFill="1" applyBorder="1" applyAlignment="1">
      <alignment/>
    </xf>
    <xf numFmtId="49" fontId="5" fillId="45" borderId="61" xfId="0" applyNumberFormat="1" applyFont="1" applyFill="1" applyBorder="1" applyAlignment="1">
      <alignment horizontal="left"/>
    </xf>
    <xf numFmtId="0" fontId="0" fillId="45" borderId="61" xfId="0" applyFont="1" applyFill="1" applyBorder="1" applyAlignment="1">
      <alignment/>
    </xf>
    <xf numFmtId="44" fontId="0" fillId="45" borderId="0" xfId="0" applyNumberFormat="1" applyFont="1" applyFill="1" applyAlignment="1">
      <alignment/>
    </xf>
    <xf numFmtId="0" fontId="0" fillId="45" borderId="0" xfId="0" applyFont="1" applyFill="1" applyBorder="1" applyAlignment="1">
      <alignment horizontal="center"/>
    </xf>
    <xf numFmtId="169" fontId="5" fillId="45" borderId="0" xfId="0" applyNumberFormat="1" applyFont="1" applyFill="1" applyBorder="1" applyAlignment="1">
      <alignment/>
    </xf>
    <xf numFmtId="0" fontId="5" fillId="45" borderId="56" xfId="0" applyFont="1" applyFill="1" applyBorder="1" applyAlignment="1">
      <alignment/>
    </xf>
    <xf numFmtId="49" fontId="5" fillId="45" borderId="54" xfId="0" applyNumberFormat="1" applyFont="1" applyFill="1" applyBorder="1" applyAlignment="1">
      <alignment horizontal="center"/>
    </xf>
    <xf numFmtId="49" fontId="5" fillId="45" borderId="54" xfId="0" applyNumberFormat="1" applyFont="1" applyFill="1" applyBorder="1" applyAlignment="1">
      <alignment/>
    </xf>
    <xf numFmtId="0" fontId="5" fillId="45" borderId="54" xfId="0" applyFont="1" applyFill="1" applyBorder="1" applyAlignment="1">
      <alignment/>
    </xf>
    <xf numFmtId="169" fontId="5" fillId="45" borderId="54" xfId="0" applyNumberFormat="1" applyFont="1" applyFill="1" applyBorder="1" applyAlignment="1">
      <alignment/>
    </xf>
    <xf numFmtId="169" fontId="5" fillId="45" borderId="57" xfId="0" applyNumberFormat="1" applyFont="1" applyFill="1" applyBorder="1" applyAlignment="1">
      <alignment/>
    </xf>
    <xf numFmtId="44" fontId="5" fillId="45" borderId="0" xfId="0" applyNumberFormat="1" applyFont="1" applyFill="1" applyAlignment="1">
      <alignment/>
    </xf>
    <xf numFmtId="49" fontId="0" fillId="45" borderId="0" xfId="0" applyNumberFormat="1" applyFill="1" applyAlignment="1">
      <alignment/>
    </xf>
    <xf numFmtId="169" fontId="0" fillId="45" borderId="0" xfId="0" applyNumberFormat="1" applyFill="1" applyAlignment="1">
      <alignment/>
    </xf>
    <xf numFmtId="0" fontId="5" fillId="45" borderId="54" xfId="0" applyFont="1" applyFill="1" applyBorder="1" applyAlignment="1">
      <alignment horizontal="center"/>
    </xf>
    <xf numFmtId="0" fontId="5" fillId="45" borderId="57" xfId="0" applyFont="1" applyFill="1" applyBorder="1" applyAlignment="1">
      <alignment horizontal="center"/>
    </xf>
    <xf numFmtId="49" fontId="5" fillId="45" borderId="58" xfId="0" applyNumberFormat="1" applyFont="1" applyFill="1" applyBorder="1" applyAlignment="1">
      <alignment/>
    </xf>
    <xf numFmtId="0" fontId="0" fillId="45" borderId="59" xfId="0" applyFill="1" applyBorder="1" applyAlignment="1">
      <alignment/>
    </xf>
    <xf numFmtId="169" fontId="0" fillId="45" borderId="20" xfId="0" applyNumberFormat="1" applyFill="1" applyBorder="1" applyAlignment="1">
      <alignment/>
    </xf>
    <xf numFmtId="49" fontId="0" fillId="45" borderId="61" xfId="0" applyNumberFormat="1" applyFont="1" applyFill="1" applyBorder="1" applyAlignment="1">
      <alignment horizontal="center"/>
    </xf>
    <xf numFmtId="169" fontId="0" fillId="45" borderId="21" xfId="0" applyNumberFormat="1" applyFill="1" applyBorder="1" applyAlignment="1">
      <alignment/>
    </xf>
    <xf numFmtId="49" fontId="5" fillId="45" borderId="56" xfId="0" applyNumberFormat="1" applyFont="1" applyFill="1" applyBorder="1" applyAlignment="1">
      <alignment horizontal="left"/>
    </xf>
    <xf numFmtId="49" fontId="5" fillId="45" borderId="54" xfId="0" applyNumberFormat="1" applyFont="1" applyFill="1" applyBorder="1" applyAlignment="1">
      <alignment horizontal="left"/>
    </xf>
    <xf numFmtId="49" fontId="0" fillId="45" borderId="60" xfId="0" applyNumberFormat="1" applyFont="1" applyFill="1" applyBorder="1" applyAlignment="1">
      <alignment horizontal="center"/>
    </xf>
    <xf numFmtId="169" fontId="0" fillId="45" borderId="22" xfId="0" applyNumberFormat="1" applyFill="1" applyBorder="1" applyAlignment="1">
      <alignment/>
    </xf>
    <xf numFmtId="49" fontId="5" fillId="45" borderId="60" xfId="0" applyNumberFormat="1" applyFont="1" applyFill="1" applyBorder="1" applyAlignment="1">
      <alignment horizontal="left"/>
    </xf>
    <xf numFmtId="49" fontId="5" fillId="45" borderId="40" xfId="0" applyNumberFormat="1" applyFont="1" applyFill="1" applyBorder="1" applyAlignment="1">
      <alignment horizontal="left"/>
    </xf>
    <xf numFmtId="169" fontId="5" fillId="45" borderId="22" xfId="0" applyNumberFormat="1" applyFont="1" applyFill="1" applyBorder="1" applyAlignment="1">
      <alignment/>
    </xf>
    <xf numFmtId="49" fontId="5" fillId="45" borderId="0" xfId="0" applyNumberFormat="1" applyFont="1" applyFill="1" applyBorder="1" applyAlignment="1">
      <alignment horizontal="left"/>
    </xf>
    <xf numFmtId="49" fontId="5" fillId="45" borderId="56" xfId="0" applyNumberFormat="1" applyFont="1" applyFill="1" applyBorder="1" applyAlignment="1">
      <alignment/>
    </xf>
    <xf numFmtId="49" fontId="5" fillId="45" borderId="54" xfId="0" applyNumberFormat="1" applyFont="1" applyFill="1" applyBorder="1" applyAlignment="1">
      <alignment/>
    </xf>
    <xf numFmtId="169" fontId="0" fillId="45" borderId="57" xfId="0" applyNumberFormat="1" applyFill="1" applyBorder="1" applyAlignment="1">
      <alignment/>
    </xf>
    <xf numFmtId="44" fontId="0" fillId="45" borderId="0" xfId="0" applyNumberFormat="1" applyFill="1" applyAlignment="1">
      <alignment/>
    </xf>
    <xf numFmtId="49" fontId="0" fillId="45" borderId="0" xfId="0" applyNumberFormat="1" applyFont="1" applyFill="1" applyAlignment="1">
      <alignment vertical="center"/>
    </xf>
    <xf numFmtId="0" fontId="0" fillId="45" borderId="0" xfId="0" applyFont="1" applyFill="1" applyAlignment="1">
      <alignment/>
    </xf>
    <xf numFmtId="189" fontId="0" fillId="45" borderId="0" xfId="46" applyFont="1" applyFill="1" applyAlignment="1">
      <alignment/>
    </xf>
    <xf numFmtId="49" fontId="5" fillId="45" borderId="109" xfId="0" applyNumberFormat="1" applyFont="1" applyFill="1" applyBorder="1" applyAlignment="1">
      <alignment horizontal="center" vertical="center"/>
    </xf>
    <xf numFmtId="0" fontId="5" fillId="45" borderId="110" xfId="0" applyFont="1" applyFill="1" applyBorder="1" applyAlignment="1">
      <alignment horizontal="center"/>
    </xf>
    <xf numFmtId="189" fontId="5" fillId="45" borderId="110" xfId="46" applyFont="1" applyFill="1" applyBorder="1" applyAlignment="1">
      <alignment horizontal="center"/>
    </xf>
    <xf numFmtId="189" fontId="5" fillId="45" borderId="107" xfId="46" applyFont="1" applyFill="1" applyBorder="1" applyAlignment="1">
      <alignment horizontal="center"/>
    </xf>
    <xf numFmtId="49" fontId="5" fillId="45" borderId="61" xfId="0" applyNumberFormat="1" applyFont="1" applyFill="1" applyBorder="1" applyAlignment="1">
      <alignment vertical="center"/>
    </xf>
    <xf numFmtId="0" fontId="5" fillId="45" borderId="0" xfId="0" applyFont="1" applyFill="1" applyBorder="1" applyAlignment="1">
      <alignment/>
    </xf>
    <xf numFmtId="189" fontId="5" fillId="45" borderId="0" xfId="46" applyFont="1" applyFill="1" applyBorder="1" applyAlignment="1">
      <alignment/>
    </xf>
    <xf numFmtId="189" fontId="5" fillId="45" borderId="21" xfId="46" applyFont="1" applyFill="1" applyBorder="1" applyAlignment="1">
      <alignment/>
    </xf>
    <xf numFmtId="49" fontId="0" fillId="45" borderId="60" xfId="0" applyNumberFormat="1" applyFont="1" applyFill="1" applyBorder="1" applyAlignment="1">
      <alignment vertical="center"/>
    </xf>
    <xf numFmtId="0" fontId="0" fillId="45" borderId="40" xfId="0" applyFont="1" applyFill="1" applyBorder="1" applyAlignment="1">
      <alignment/>
    </xf>
    <xf numFmtId="189" fontId="0" fillId="45" borderId="40" xfId="46" applyFont="1" applyFill="1" applyBorder="1" applyAlignment="1">
      <alignment/>
    </xf>
    <xf numFmtId="189" fontId="0" fillId="45" borderId="22" xfId="46" applyFont="1" applyFill="1" applyBorder="1" applyAlignment="1">
      <alignment/>
    </xf>
    <xf numFmtId="49" fontId="5" fillId="45" borderId="108" xfId="0" applyNumberFormat="1" applyFont="1" applyFill="1" applyBorder="1" applyAlignment="1">
      <alignment horizontal="center" vertical="center"/>
    </xf>
    <xf numFmtId="0" fontId="5" fillId="45" borderId="56" xfId="0" applyFont="1" applyFill="1" applyBorder="1" applyAlignment="1">
      <alignment horizontal="center"/>
    </xf>
    <xf numFmtId="189" fontId="5" fillId="45" borderId="54" xfId="46" applyFont="1" applyFill="1" applyBorder="1" applyAlignment="1">
      <alignment horizontal="center"/>
    </xf>
    <xf numFmtId="189" fontId="5" fillId="45" borderId="57" xfId="46" applyFont="1" applyFill="1" applyBorder="1" applyAlignment="1">
      <alignment horizontal="center"/>
    </xf>
    <xf numFmtId="0" fontId="5" fillId="45" borderId="0" xfId="0" applyFont="1" applyFill="1" applyAlignment="1">
      <alignment horizontal="center"/>
    </xf>
    <xf numFmtId="49" fontId="5" fillId="45" borderId="61" xfId="0" applyNumberFormat="1" applyFont="1" applyFill="1" applyBorder="1" applyAlignment="1">
      <alignment/>
    </xf>
    <xf numFmtId="0" fontId="5" fillId="45" borderId="0" xfId="0" applyFont="1" applyFill="1" applyAlignment="1">
      <alignment/>
    </xf>
    <xf numFmtId="49" fontId="0" fillId="45" borderId="61" xfId="0" applyNumberFormat="1" applyFont="1" applyFill="1" applyBorder="1" applyAlignment="1">
      <alignment vertical="center"/>
    </xf>
    <xf numFmtId="0" fontId="0" fillId="45" borderId="0" xfId="0" applyFont="1" applyFill="1" applyBorder="1" applyAlignment="1">
      <alignment/>
    </xf>
    <xf numFmtId="189" fontId="0" fillId="45" borderId="0" xfId="46" applyFont="1" applyFill="1" applyBorder="1" applyAlignment="1">
      <alignment/>
    </xf>
    <xf numFmtId="189" fontId="0" fillId="45" borderId="21" xfId="46" applyFont="1" applyFill="1" applyBorder="1" applyAlignment="1">
      <alignment/>
    </xf>
    <xf numFmtId="49" fontId="0" fillId="45" borderId="61" xfId="0" applyNumberFormat="1" applyFont="1" applyFill="1" applyBorder="1" applyAlignment="1">
      <alignment vertical="center"/>
    </xf>
    <xf numFmtId="0" fontId="0" fillId="45" borderId="0" xfId="0" applyFont="1" applyFill="1" applyBorder="1" applyAlignment="1">
      <alignment/>
    </xf>
    <xf numFmtId="49" fontId="5" fillId="45" borderId="61" xfId="0" applyNumberFormat="1" applyFont="1" applyFill="1" applyBorder="1" applyAlignment="1">
      <alignment vertical="center"/>
    </xf>
    <xf numFmtId="189" fontId="5" fillId="45" borderId="0" xfId="46" applyFont="1" applyFill="1" applyBorder="1" applyAlignment="1">
      <alignment/>
    </xf>
    <xf numFmtId="189" fontId="5" fillId="45" borderId="21" xfId="46" applyFont="1" applyFill="1" applyBorder="1" applyAlignment="1">
      <alignment/>
    </xf>
    <xf numFmtId="49" fontId="0" fillId="45" borderId="0" xfId="0" applyNumberFormat="1" applyFont="1" applyFill="1" applyBorder="1" applyAlignment="1">
      <alignment vertical="center"/>
    </xf>
    <xf numFmtId="49" fontId="5" fillId="45" borderId="56" xfId="0" applyNumberFormat="1" applyFont="1" applyFill="1" applyBorder="1" applyAlignment="1">
      <alignment horizontal="center" vertical="center"/>
    </xf>
    <xf numFmtId="0" fontId="5" fillId="45" borderId="109" xfId="0" applyFont="1" applyFill="1" applyBorder="1" applyAlignment="1">
      <alignment horizontal="center"/>
    </xf>
    <xf numFmtId="0" fontId="5" fillId="45" borderId="111" xfId="0" applyFont="1" applyFill="1" applyBorder="1" applyAlignment="1">
      <alignment horizontal="center"/>
    </xf>
    <xf numFmtId="189" fontId="5" fillId="45" borderId="109" xfId="46" applyFont="1" applyFill="1" applyBorder="1" applyAlignment="1">
      <alignment horizontal="center"/>
    </xf>
    <xf numFmtId="189" fontId="0" fillId="45" borderId="0" xfId="46" applyFont="1" applyFill="1" applyBorder="1" applyAlignment="1">
      <alignment/>
    </xf>
    <xf numFmtId="189" fontId="0" fillId="45" borderId="21" xfId="46" applyFont="1" applyFill="1" applyBorder="1" applyAlignment="1">
      <alignment/>
    </xf>
    <xf numFmtId="0" fontId="0" fillId="45" borderId="0" xfId="0" applyFont="1" applyFill="1" applyAlignment="1">
      <alignment/>
    </xf>
    <xf numFmtId="0" fontId="5" fillId="45" borderId="54" xfId="0" applyFont="1" applyFill="1" applyBorder="1" applyAlignment="1">
      <alignment horizontal="center"/>
    </xf>
    <xf numFmtId="49" fontId="5" fillId="45" borderId="58" xfId="0" applyNumberFormat="1" applyFont="1" applyFill="1" applyBorder="1" applyAlignment="1">
      <alignment vertical="center"/>
    </xf>
    <xf numFmtId="0" fontId="5" fillId="45" borderId="59" xfId="0" applyFont="1" applyFill="1" applyBorder="1" applyAlignment="1">
      <alignment/>
    </xf>
    <xf numFmtId="189" fontId="5" fillId="45" borderId="59" xfId="46" applyFont="1" applyFill="1" applyBorder="1" applyAlignment="1">
      <alignment/>
    </xf>
    <xf numFmtId="189" fontId="5" fillId="45" borderId="20" xfId="46" applyFont="1" applyFill="1" applyBorder="1" applyAlignment="1">
      <alignment/>
    </xf>
    <xf numFmtId="189" fontId="0" fillId="45" borderId="40" xfId="46" applyFont="1" applyFill="1" applyBorder="1" applyAlignment="1">
      <alignment/>
    </xf>
    <xf numFmtId="189" fontId="0" fillId="45" borderId="22" xfId="46" applyFont="1" applyFill="1" applyBorder="1" applyAlignment="1">
      <alignment/>
    </xf>
    <xf numFmtId="49" fontId="0" fillId="45" borderId="60" xfId="0" applyNumberFormat="1" applyFont="1" applyFill="1" applyBorder="1" applyAlignment="1">
      <alignment vertical="center"/>
    </xf>
    <xf numFmtId="189" fontId="0" fillId="45" borderId="40" xfId="46" applyFont="1" applyFill="1" applyBorder="1" applyAlignment="1">
      <alignment/>
    </xf>
    <xf numFmtId="189" fontId="0" fillId="45" borderId="22" xfId="46" applyFont="1" applyFill="1" applyBorder="1" applyAlignment="1">
      <alignment/>
    </xf>
    <xf numFmtId="49" fontId="5" fillId="45" borderId="56" xfId="0" applyNumberFormat="1" applyFont="1" applyFill="1" applyBorder="1" applyAlignment="1">
      <alignment vertical="center"/>
    </xf>
    <xf numFmtId="49" fontId="5" fillId="45" borderId="54" xfId="0" applyNumberFormat="1" applyFont="1" applyFill="1" applyBorder="1" applyAlignment="1">
      <alignment vertical="center"/>
    </xf>
    <xf numFmtId="189" fontId="5" fillId="45" borderId="57" xfId="46" applyFont="1" applyFill="1" applyBorder="1" applyAlignment="1">
      <alignment/>
    </xf>
    <xf numFmtId="189" fontId="0" fillId="45" borderId="0" xfId="0" applyNumberFormat="1" applyFont="1" applyFill="1" applyAlignment="1">
      <alignment/>
    </xf>
    <xf numFmtId="189" fontId="5" fillId="45" borderId="56" xfId="46" applyFont="1" applyFill="1" applyBorder="1" applyAlignment="1">
      <alignment horizontal="center"/>
    </xf>
    <xf numFmtId="189" fontId="5" fillId="45" borderId="108" xfId="46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6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66675</xdr:rowOff>
    </xdr:from>
    <xdr:to>
      <xdr:col>6</xdr:col>
      <xdr:colOff>933450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3543300"/>
          <a:ext cx="94678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origem/espécia/rubrica de receita e/ou grupo de natureza de despesa.</a:t>
          </a:r>
        </a:p>
      </xdr:txBody>
    </xdr:sp>
    <xdr:clientData/>
  </xdr:twoCellAnchor>
  <xdr:twoCellAnchor>
    <xdr:from>
      <xdr:col>0</xdr:col>
      <xdr:colOff>1971675</xdr:colOff>
      <xdr:row>26</xdr:row>
      <xdr:rowOff>0</xdr:rowOff>
    </xdr:from>
    <xdr:to>
      <xdr:col>6</xdr:col>
      <xdr:colOff>314325</xdr:colOff>
      <xdr:row>26</xdr:row>
      <xdr:rowOff>0</xdr:rowOff>
    </xdr:to>
    <xdr:sp>
      <xdr:nvSpPr>
        <xdr:cNvPr id="2" name="Line 6"/>
        <xdr:cNvSpPr>
          <a:spLocks/>
        </xdr:cNvSpPr>
      </xdr:nvSpPr>
      <xdr:spPr>
        <a:xfrm>
          <a:off x="1971675" y="393382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9067800" y="3933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6</xdr:row>
      <xdr:rowOff>76200</xdr:rowOff>
    </xdr:from>
    <xdr:to>
      <xdr:col>1</xdr:col>
      <xdr:colOff>695325</xdr:colOff>
      <xdr:row>8</xdr:row>
      <xdr:rowOff>47625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762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123825</xdr:rowOff>
    </xdr:from>
    <xdr:to>
      <xdr:col>3</xdr:col>
      <xdr:colOff>990600</xdr:colOff>
      <xdr:row>39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6105525"/>
          <a:ext cx="66675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(2014,  2015 e 2016).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1619250</xdr:colOff>
      <xdr:row>0</xdr:row>
      <xdr:rowOff>38100</xdr:rowOff>
    </xdr:from>
    <xdr:to>
      <xdr:col>0</xdr:col>
      <xdr:colOff>2105025</xdr:colOff>
      <xdr:row>3</xdr:row>
      <xdr:rowOff>19050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81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155</xdr:row>
      <xdr:rowOff>123825</xdr:rowOff>
    </xdr:from>
    <xdr:to>
      <xdr:col>7</xdr:col>
      <xdr:colOff>95250</xdr:colOff>
      <xdr:row>171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22269450"/>
          <a:ext cx="66008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inciso IV, alínea “a”, da Lei de Responsabilidade Fiscal – LRF, o qual determina que o Anexo de Metas Fiscais conterá a avaliação da situação financeira e atuarial do Regime Próprio de Previdência dos Servidores – RPPS.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acima apresentados tem como base o Anexo 4 – Demonstrativo das Receitas e Despesas Previdenciárias do Regime Próprio de Previdência dos Servidores, publicado no Relatório Resumido de Execução Orçamentária – RREO do último bimestre dos exercícios financeiros de 2014, 2015 e 2016, respectivamente.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os resultados da avaliação atuarial foram apresentados conforme o Anexo 10 – Demonstrativo da Projeção Atuarial do Regime Próprio dos Servidores, publicado no RREO do último bimestre dos exercícios de 2016.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5</xdr:col>
      <xdr:colOff>742950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4791075"/>
          <a:ext cx="58674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Conforme os arts. 13, 54 e 55 do Projeto de Lei das Diretrizes Orçamentárias, a estimativa de renúncia de receita deverá estar inserida na metodologia de cálculo da projeção da arrecadação efetiva dos tributos municipais.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Dessa forma, fica observado o atendimento do disposto no art. 14, I, da LRF, o qual determina que a renúncia deve ser considerada na estimativa de receita da lei orçamentária e de que não afetará as metas de resultados fiscais.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85725</xdr:rowOff>
    </xdr:from>
    <xdr:to>
      <xdr:col>1</xdr:col>
      <xdr:colOff>2847975</xdr:colOff>
      <xdr:row>48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23825" y="5610225"/>
          <a:ext cx="58197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Desse modo, para estimar o aumento permanente das receitas em 2018 considerou-se o incremento real, ou seja, a diferença entre os valores estimados a preços constantes das receitas  trbutárias e de transferências correntes, no biênio 2017-2018.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mesma linha, o aumento permandente das despesas de caráter obrigatório que terão impacto em 2018, foi calculado pela diferença a valores constantes, observada no biênio 2017-2018 nos grupos de natureza de despesa "Pessoal" e "Outras Despesas Correntes", chegando-se, assim, ao saldo da margem líquida de expansão.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  <xdr:twoCellAnchor editAs="oneCell">
    <xdr:from>
      <xdr:col>0</xdr:col>
      <xdr:colOff>1266825</xdr:colOff>
      <xdr:row>0</xdr:row>
      <xdr:rowOff>104775</xdr:rowOff>
    </xdr:from>
    <xdr:to>
      <xdr:col>0</xdr:col>
      <xdr:colOff>1790700</xdr:colOff>
      <xdr:row>3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0477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142875</xdr:rowOff>
    </xdr:from>
    <xdr:to>
      <xdr:col>1</xdr:col>
      <xdr:colOff>2657475</xdr:colOff>
      <xdr:row>26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2425" y="5419725"/>
          <a:ext cx="5038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Declaramos para os devidos fins, que a expansão das despesas obrigatórias de caráter continuado, no exercício financeiro de 2018, adequar-se-ão às receitas do Município.</a:t>
          </a:r>
        </a:p>
      </xdr:txBody>
    </xdr:sp>
    <xdr:clientData/>
  </xdr:twoCellAnchor>
  <xdr:twoCellAnchor editAs="oneCell">
    <xdr:from>
      <xdr:col>0</xdr:col>
      <xdr:colOff>990600</xdr:colOff>
      <xdr:row>0</xdr:row>
      <xdr:rowOff>85725</xdr:rowOff>
    </xdr:from>
    <xdr:to>
      <xdr:col>0</xdr:col>
      <xdr:colOff>1571625</xdr:colOff>
      <xdr:row>2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133350</xdr:rowOff>
    </xdr:from>
    <xdr:to>
      <xdr:col>3</xdr:col>
      <xdr:colOff>857250</xdr:colOff>
      <xdr:row>32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61925" y="5419725"/>
          <a:ext cx="69723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1676400</xdr:colOff>
      <xdr:row>0</xdr:row>
      <xdr:rowOff>76200</xdr:rowOff>
    </xdr:from>
    <xdr:to>
      <xdr:col>0</xdr:col>
      <xdr:colOff>2257425</xdr:colOff>
      <xdr:row>3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4</xdr:row>
      <xdr:rowOff>66675</xdr:rowOff>
    </xdr:from>
    <xdr:to>
      <xdr:col>8</xdr:col>
      <xdr:colOff>180975</xdr:colOff>
      <xdr:row>8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76200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3000375</xdr:colOff>
      <xdr:row>0</xdr:row>
      <xdr:rowOff>114300</xdr:rowOff>
    </xdr:from>
    <xdr:to>
      <xdr:col>2</xdr:col>
      <xdr:colOff>238125</xdr:colOff>
      <xdr:row>1</xdr:row>
      <xdr:rowOff>333375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14300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0</xdr:rowOff>
    </xdr:from>
    <xdr:to>
      <xdr:col>6</xdr:col>
      <xdr:colOff>485775</xdr:colOff>
      <xdr:row>38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342900" y="4905375"/>
          <a:ext cx="84582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 Nominal –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a diferença entre o saldo da dívida fiscal líquida em 31 de dezembro de determinado ano em relação ao apurado em 31 de dezembro do ano anterior.
</a:t>
          </a:r>
        </a:p>
      </xdr:txBody>
    </xdr:sp>
    <xdr:clientData fLocksWithSheet="0"/>
  </xdr:twoCellAnchor>
  <xdr:twoCellAnchor editAs="oneCell">
    <xdr:from>
      <xdr:col>0</xdr:col>
      <xdr:colOff>2695575</xdr:colOff>
      <xdr:row>0</xdr:row>
      <xdr:rowOff>38100</xdr:rowOff>
    </xdr:from>
    <xdr:to>
      <xdr:col>1</xdr:col>
      <xdr:colOff>552450</xdr:colOff>
      <xdr:row>1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1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22</xdr:row>
      <xdr:rowOff>152400</xdr:rowOff>
    </xdr:from>
    <xdr:to>
      <xdr:col>12</xdr:col>
      <xdr:colOff>409575</xdr:colOff>
      <xdr:row>89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200025" y="4733925"/>
          <a:ext cx="11172825" cy="1086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Demonstrativo de Metas Anuais objetiva estabelecer as metas para o triênio compreendendo o ano de vigência da LDO e os dois subsequentes,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1º da LRF.
</a:t>
          </a:r>
          <a:r>
            <a:rPr lang="en-US" cap="none" sz="1100" b="0" i="0" u="none" baseline="0">
              <a:solidFill>
                <a:srgbClr val="000000"/>
              </a:solidFill>
            </a:rPr>
            <a:t>Para melhor entendimento, cabem aqui os seguintes conceitos:
</a:t>
          </a:r>
          <a:r>
            <a:rPr lang="en-US" cap="none" sz="1100" b="0" i="0" u="none" baseline="0">
              <a:solidFill>
                <a:srgbClr val="000000"/>
              </a:solidFill>
            </a:rPr>
            <a:t>1 –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ativos;
</a:t>
          </a:r>
          <a:r>
            <a:rPr lang="en-US" cap="none" sz="1100" b="0" i="0" u="none" baseline="0">
              <a:solidFill>
                <a:srgbClr val="000000"/>
              </a:solidFill>
            </a:rPr>
            <a:t>2 – as despesas primárias correspondem ao total da despesa orçamentária deduzidas as despesas com juros e amortização da dívida, aquisição de títulos de capital integralizado e as despesas com concessão de empréstimos com retorno garantido. 
</a:t>
          </a:r>
          <a:r>
            <a:rPr lang="en-US" cap="none" sz="1100" b="0" i="0" u="none" baseline="0">
              <a:solidFill>
                <a:srgbClr val="000000"/>
              </a:solidFill>
            </a:rPr>
            <a:t>3 – o resultado primário corresponde à diferença entre as receitas primárias e despesas primárias evidenciando o esforço fiscal do Município;
</a:t>
          </a:r>
          <a:r>
            <a:rPr lang="en-US" cap="none" sz="1100" b="0" i="0" u="none" baseline="0">
              <a:solidFill>
                <a:srgbClr val="000000"/>
              </a:solidFill>
            </a:rPr>
            <a:t>4 – o resultado nominal representa a diferença entre o saldo previsto da dívida fiscal líquida em 31 de dezembro de determinado ano em relação ao apurado em 31 de dezembro do ano anterior;
</a:t>
          </a:r>
          <a:r>
            <a:rPr lang="en-US" cap="none" sz="1100" b="0" i="0" u="none" baseline="0">
              <a:solidFill>
                <a:srgbClr val="000000"/>
              </a:solidFill>
            </a:rPr>
            <a:t>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</a:t>
          </a:r>
          <a:r>
            <a:rPr lang="en-US" cap="none" sz="1100" b="0" i="0" u="none" baseline="0">
              <a:solidFill>
                <a:srgbClr val="000000"/>
              </a:solidFill>
            </a:rPr>
            <a:t>6 – a dívida Consolidada Líquida – DCL - corresponde à dívida pública consolidada, deduzidos os valores que compreendem o ativo disponível e os haveres financeiros, líquidos dos Restos a Pagar Processados.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</a:rPr>
            <a:t>Premissas e Metodologia UtilizadaS: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1 -</a:t>
          </a:r>
          <a:r>
            <a:rPr lang="en-US" cap="none" sz="1100" b="0" i="0" u="none" baseline="0">
              <a:solidFill>
                <a:srgbClr val="000000"/>
              </a:solidFill>
            </a:rPr>
            <a:t> Os parâmetros macroeconômicos utilizados na elaboração das estimativas constantes no Anexo de Metas Fiscais são relacionados na </a:t>
          </a:r>
          <a:r>
            <a:rPr lang="en-US" cap="none" sz="1100" b="1" i="0" u="none" baseline="0">
              <a:solidFill>
                <a:srgbClr val="000000"/>
              </a:solidFill>
            </a:rPr>
            <a:t>Tabela 01.</a:t>
          </a:r>
          <a:r>
            <a:rPr lang="en-US" cap="none" sz="1100" b="0" i="0" u="none" baseline="0">
              <a:solidFill>
                <a:srgbClr val="000000"/>
              </a:solidFill>
            </a:rPr>
            <a:t>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(2014, 2015 e 2016) e os valores reestimados para o exercício atual (2017), além das premissas consideradas como verdadeiras e relacionadas, por exemplo, ao índice de inflação, crescimento do PIB, atualização da planta de valores do IPTU, ampliação do perímetro urbano da cidade, políticas de combate à evasão e à sonegação fiscal, comportamento das receitas oriundas de transferências da União e do Estado, dentre outros.
</a:t>
          </a:r>
          <a:r>
            <a:rPr lang="en-US" cap="none" sz="1100" b="1" i="0" u="none" baseline="0">
              <a:solidFill>
                <a:srgbClr val="000000"/>
              </a:solidFill>
            </a:rPr>
            <a:t>2 -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às despesas correntes, foram considerados os parâmetros de inflação, crescimento vegetativo e aumento real, quando cabível, das despesas de custeios.  Em relação aos investimentos, além da inflação, considerou-se a estimativa de crescimento real dessas despesas em nível que viabilize a sua expansão a fim de garantir, precipuamente, a conclusão dos projetos em andamento demonstrados no </a:t>
          </a:r>
          <a:r>
            <a:rPr lang="en-US" cap="none" sz="1100" b="1" i="0" u="none" baseline="0">
              <a:solidFill>
                <a:srgbClr val="000000"/>
              </a:solidFill>
            </a:rPr>
            <a:t>Anexo IV.</a:t>
          </a:r>
          <a:r>
            <a:rPr lang="en-US" cap="none" sz="1100" b="0" i="0" u="none" baseline="0">
              <a:solidFill>
                <a:srgbClr val="000000"/>
              </a:solidFill>
            </a:rPr>
            <a:t>  Asseguraram-se, ainda, os recursos para pagamento das obrigações decorrentes de juros e amortização da dívida pública.
</a:t>
          </a:r>
          <a:r>
            <a:rPr lang="en-US" cap="none" sz="1100" b="1" i="0" u="none" baseline="0">
              <a:solidFill>
                <a:srgbClr val="000000"/>
              </a:solidFill>
            </a:rPr>
            <a:t>3 –</a:t>
          </a:r>
          <a:r>
            <a:rPr lang="en-US" cap="none" sz="1100" b="0" i="0" u="none" baseline="0">
              <a:solidFill>
                <a:srgbClr val="000000"/>
              </a:solidFill>
            </a:rPr>
            <a:t> No tocante às despesas com pessoal, em específico, foi considerado o provável efeito da revisão geral anual prevista na Constituição da República, o crescimento vegetativo da folha salarial e eventual aumento acima dos níveis inflacionários.
</a:t>
          </a:r>
          <a:r>
            <a:rPr lang="en-US" cap="none" sz="1100" b="1" i="0" u="none" baseline="0">
              <a:solidFill>
                <a:srgbClr val="000000"/>
              </a:solidFill>
            </a:rPr>
            <a:t>4 -</a:t>
          </a:r>
          <a:r>
            <a:rPr lang="en-US" cap="none" sz="1100" b="0" i="0" u="none" baseline="0">
              <a:solidFill>
                <a:srgbClr val="000000"/>
              </a:solidFill>
            </a:rPr>
            <a:t> Considera-se o PIB e o IPCA como as principais variáveis para explicar o crescimento nominal das receitas, visto que boa parte das receitas tributárias e não tributárias, bem como as transferências constitucionais e legais acompanham o ritmo das atividades econômicas de âmbito nacional. Assim, para os exercícios de 2018, 2019 e 2020, considerou-se um crescimento do Produto Interno Bruto nacional de</a:t>
          </a:r>
          <a:r>
            <a:rPr lang="en-US" cap="none" sz="1100" b="0" i="0" u="none" baseline="0">
              <a:solidFill>
                <a:srgbClr val="000000"/>
              </a:solidFill>
            </a:rPr>
            <a:t> 1,99</a:t>
          </a:r>
          <a:r>
            <a:rPr lang="en-US" cap="none" sz="1100" b="0" i="0" u="none" baseline="0">
              <a:solidFill>
                <a:srgbClr val="000000"/>
              </a:solidFill>
            </a:rPr>
            <a:t>%,</a:t>
          </a:r>
          <a:r>
            <a:rPr lang="en-US" cap="none" sz="1100" b="0" i="0" u="none" baseline="0">
              <a:solidFill>
                <a:srgbClr val="000000"/>
              </a:solidFill>
            </a:rPr>
            <a:t> 2,47</a:t>
          </a:r>
          <a:r>
            <a:rPr lang="en-US" cap="none" sz="1100" b="0" i="0" u="none" baseline="0">
              <a:solidFill>
                <a:srgbClr val="000000"/>
              </a:solidFill>
            </a:rPr>
            <a:t>% e</a:t>
          </a:r>
          <a:r>
            <a:rPr lang="en-US" cap="none" sz="1100" b="0" i="0" u="none" baseline="0">
              <a:solidFill>
                <a:srgbClr val="000000"/>
              </a:solidFill>
            </a:rPr>
            <a:t> 2,45</a:t>
          </a:r>
          <a:r>
            <a:rPr lang="en-US" cap="none" sz="1100" b="0" i="0" u="none" baseline="0">
              <a:solidFill>
                <a:srgbClr val="000000"/>
              </a:solidFill>
            </a:rPr>
            <a:t>% e das taxas de inflação (IPCA), de</a:t>
          </a:r>
          <a:r>
            <a:rPr lang="en-US" cap="none" sz="1100" b="0" i="0" u="none" baseline="0">
              <a:solidFill>
                <a:srgbClr val="000000"/>
              </a:solidFill>
            </a:rPr>
            <a:t> 4,20</a:t>
          </a:r>
          <a:r>
            <a:rPr lang="en-US" cap="none" sz="1100" b="0" i="0" u="none" baseline="0">
              <a:solidFill>
                <a:srgbClr val="000000"/>
              </a:solidFill>
            </a:rPr>
            <a:t>%,</a:t>
          </a:r>
          <a:r>
            <a:rPr lang="en-US" cap="none" sz="1100" b="0" i="0" u="none" baseline="0">
              <a:solidFill>
                <a:srgbClr val="000000"/>
              </a:solidFill>
            </a:rPr>
            <a:t> 4,25</a:t>
          </a:r>
          <a:r>
            <a:rPr lang="en-US" cap="none" sz="1100" b="0" i="0" u="none" baseline="0">
              <a:solidFill>
                <a:srgbClr val="000000"/>
              </a:solidFill>
            </a:rPr>
            <a:t>% e</a:t>
          </a:r>
          <a:r>
            <a:rPr lang="en-US" cap="none" sz="1100" b="0" i="0" u="none" baseline="0">
              <a:solidFill>
                <a:srgbClr val="000000"/>
              </a:solidFill>
            </a:rPr>
            <a:t> 4,11</a:t>
          </a:r>
          <a:r>
            <a:rPr lang="en-US" cap="none" sz="1100" b="0" i="0" u="none" baseline="0">
              <a:solidFill>
                <a:srgbClr val="000000"/>
              </a:solidFill>
            </a:rPr>
            <a:t>%, respectivamente, cujas projeções decorrem do sistema de expectativa de mercado, segundo informações do sítio do Banco Central do Brasil, verificadas em</a:t>
          </a:r>
          <a:r>
            <a:rPr lang="en-US" cap="none" sz="1100" b="0" i="0" u="none" baseline="0">
              <a:solidFill>
                <a:srgbClr val="000000"/>
              </a:solidFill>
            </a:rPr>
            <a:t> 29/08/</a:t>
          </a:r>
          <a:r>
            <a:rPr lang="en-US" cap="none" sz="1100" b="0" i="0" u="none" baseline="0">
              <a:solidFill>
                <a:srgbClr val="000000"/>
              </a:solidFill>
            </a:rPr>
            <a:t>2017.
</a:t>
          </a:r>
          <a:r>
            <a:rPr lang="en-US" cap="none" sz="1100" b="1" i="0" u="none" baseline="0">
              <a:solidFill>
                <a:srgbClr val="000000"/>
              </a:solidFill>
            </a:rPr>
            <a:t>5 -</a:t>
          </a:r>
          <a:r>
            <a:rPr lang="en-US" cap="none" sz="1100" b="0" i="0" u="none" baseline="0">
              <a:solidFill>
                <a:srgbClr val="000000"/>
              </a:solidFill>
            </a:rPr>
            <a:t> Outro ponto importante a ser destacado é que a receita do Município, conforme estabelece o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3º, do art. 1º da Lei Complementar nº 101/00, compreende as receitas de todos os órgãos da Administração Pública Municipal, inclusive as receitas intraorçamentárias.
</a:t>
          </a:r>
          <a:r>
            <a:rPr lang="en-US" cap="none" sz="1100" b="1" i="0" u="none" baseline="0">
              <a:solidFill>
                <a:srgbClr val="000000"/>
              </a:solidFill>
            </a:rPr>
            <a:t>6 -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ao cálculo do Resultado Primário e do Resultado Nominal, considerou a metodologia estabelecida na Portaria STN nº 403/2016 e suas alterações. Os resultados primários previstos para os três exercícios são considerados suficientes para manutenção do equilíbrio fiscal. Cabe ponderar que, nos termos do art. 2º da LDO, o resultado primário poderá ser revisto por ocasião da elaboração da Lei Orçamentária Anual ou durante o exercício de 2018. O resultado nominal reflete a variação do endividamento fiscal líquido entre as datas referidas.
</a:t>
          </a:r>
          <a:r>
            <a:rPr lang="en-US" cap="none" sz="1100" b="1" i="0" u="none" baseline="0">
              <a:solidFill>
                <a:srgbClr val="000000"/>
              </a:solidFill>
            </a:rPr>
            <a:t>7 -</a:t>
          </a:r>
          <a:r>
            <a:rPr lang="en-US" cap="none" sz="1100" b="0" i="0" u="none" baseline="0">
              <a:solidFill>
                <a:srgbClr val="000000"/>
              </a:solidFill>
            </a:rPr>
            <a:t> Na estimativa do montante da dívida consolidada para 2018, 2019 e 2020, utilizou-se, como parâmetros a previsão da média anual para a taxa de juros SELIC,  de 7,77%, 8,30% e 8,32%, segundo informações do sítio do Banco Central do Brasil, verificadas em  29/08/2017.  
</a:t>
          </a:r>
          <a:r>
            <a:rPr lang="en-US" cap="none" sz="1100" b="1" i="0" u="none" baseline="0">
              <a:solidFill>
                <a:srgbClr val="000000"/>
              </a:solidFill>
            </a:rPr>
            <a:t>8 -</a:t>
          </a:r>
          <a:r>
            <a:rPr lang="en-US" cap="none" sz="1100" b="0" i="0" u="none" baseline="0">
              <a:solidFill>
                <a:srgbClr val="000000"/>
              </a:solidFill>
            </a:rPr>
            <a:t> Já na apuração do montante da dívida líquida, os valores das Disponibilidades Financeiras foram calculados levando-se em consideração a estimativa da posição em 31/12/2017, projetando-se os valores futuros com base nos percentuais médios dos valores realizados no ano anterior.
</a:t>
          </a:r>
          <a:r>
            <a:rPr lang="en-US" cap="none" sz="1100" b="1" i="0" u="none" baseline="0">
              <a:solidFill>
                <a:srgbClr val="000000"/>
              </a:solidFill>
            </a:rPr>
            <a:t>9 -</a:t>
          </a:r>
          <a:r>
            <a:rPr lang="en-US" cap="none" sz="1100" b="0" i="0" u="none" baseline="0">
              <a:solidFill>
                <a:srgbClr val="000000"/>
              </a:solidFill>
            </a:rPr>
            <a:t> Isso posto, podemos elencar, a partir da leitura das projeções estabelecidas para o ano de referência da LDO (2018), os números mais representativos no contexto das projeções:
</a:t>
          </a:r>
          <a:r>
            <a:rPr lang="en-US" cap="none" sz="1100" b="1" i="0" u="none" baseline="0">
              <a:solidFill>
                <a:srgbClr val="000000"/>
              </a:solidFill>
            </a:rPr>
            <a:t>9.1 -</a:t>
          </a:r>
          <a:r>
            <a:rPr lang="en-US" cap="none" sz="1100" b="0" i="0" u="none" baseline="0">
              <a:solidFill>
                <a:srgbClr val="000000"/>
              </a:solidFill>
            </a:rPr>
            <a:t> A receita total estimada para o exercício de 2018, consideradas todas as fontes de recursos é de R$ 44.849.000,00, a preços correntes que, deduzidas das receitas financeiras, representadas pelos Rendimentos das Aplicações Financeiras (R$2.306.749,25), das resultantes de Operações de Crédito (R$104.370,00), das Alienações de Bens (R$41.748,00) e das resultantes de Amortização de Empréstimos Concedidos (R$0,00), resultam numa Receita Primária de R$</a:t>
          </a:r>
          <a:r>
            <a:rPr lang="en-US" cap="none" sz="1100" b="0" i="0" u="none" baseline="0">
              <a:solidFill>
                <a:srgbClr val="000000"/>
              </a:solidFill>
            </a:rPr>
            <a:t> 42.396.132,76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1" i="0" u="none" baseline="0">
              <a:solidFill>
                <a:srgbClr val="000000"/>
              </a:solidFill>
            </a:rPr>
            <a:t>9.2 -</a:t>
          </a:r>
          <a:r>
            <a:rPr lang="en-US" cap="none" sz="1100" b="0" i="0" u="none" baseline="0">
              <a:solidFill>
                <a:srgbClr val="000000"/>
              </a:solidFill>
            </a:rPr>
            <a:t>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R$ 44.849.000,00. Deduzindo-se as despesas financeiras com juros e encargos da dívida, estimadas em R$ 260.222,21, mais as despesas com Concessão de Empréstimos e Financiamentos, no valor de R$ 0,00 e a Amortização da Dívida Publica, estimada em R$ 1.005.161,34, tem-se que as despesas primárias para 2018 foram previstas em R$ 43.583.616,45.
</a:t>
          </a:r>
          <a:r>
            <a:rPr lang="en-US" cap="none" sz="1100" b="1" i="0" u="none" baseline="0">
              <a:solidFill>
                <a:srgbClr val="000000"/>
              </a:solidFill>
            </a:rPr>
            <a:t>9.3 -</a:t>
          </a:r>
          <a:r>
            <a:rPr lang="en-US" cap="none" sz="1100" b="0" i="0" u="none" baseline="0">
              <a:solidFill>
                <a:srgbClr val="000000"/>
              </a:solidFill>
            </a:rPr>
            <a:t> Cotejando-se o valor previsto para as receitas e despesas primárias em valores correntes, chega-se à meta de resultado primário de 2018 que foi inicialmente prevista em R$ (-1.187.483,69) a qual entendemos como necessária e suficiente para preservar o equilíbrio nas contas públicas. No entanto, ressaltamos que, a depender do comportamento das variáveis macroeconômicas, ou na hipótese de frustração de arrecadação, a meta poderá ser alterada, conforme expressa previsão do art. 2º da LDO.
</a:t>
          </a:r>
          <a:r>
            <a:rPr lang="en-US" cap="none" sz="1100" b="1" i="0" u="none" baseline="0">
              <a:solidFill>
                <a:srgbClr val="000000"/>
              </a:solidFill>
            </a:rPr>
            <a:t>10 -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ao estoque da dívida, esse corresponde à posição em dezembro de cada exercício, considerando a previsão das amortizações e das liberações a serem realizadas no respectivo período, estando os valores evidenciados na </a:t>
          </a:r>
          <a:r>
            <a:rPr lang="en-US" cap="none" sz="1100" b="1" i="0" u="none" baseline="0">
              <a:solidFill>
                <a:srgbClr val="000000"/>
              </a:solidFill>
            </a:rPr>
            <a:t>Tabela 02.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2</xdr:col>
      <xdr:colOff>819150</xdr:colOff>
      <xdr:row>0</xdr:row>
      <xdr:rowOff>104775</xdr:rowOff>
    </xdr:from>
    <xdr:to>
      <xdr:col>3</xdr:col>
      <xdr:colOff>447675</xdr:colOff>
      <xdr:row>2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133350</xdr:rowOff>
    </xdr:from>
    <xdr:to>
      <xdr:col>9</xdr:col>
      <xdr:colOff>409575</xdr:colOff>
      <xdr:row>21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00025" y="3790950"/>
          <a:ext cx="94297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00025" y="3200400"/>
          <a:ext cx="109156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 acima identificados, representam as metas de receitas, despesas e resultado primário do Tesouro Municipal  (Excetuadas as receitas e despesas previdenciárias).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metodologia e os conceitos são idênticos aos utilizados para a elaboração do anexo de metas fiscais consolidado.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152400</xdr:rowOff>
    </xdr:from>
    <xdr:to>
      <xdr:col>9</xdr:col>
      <xdr:colOff>0</xdr:colOff>
      <xdr:row>51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5725" y="4314825"/>
          <a:ext cx="8877300" cy="514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objetivo deste demonstrativo é estabelecer uma comparação entre as metas fixadas e o resultado obtido no exercício anterior ao da edição da LDO (2016), incluindo análise dos fatores determinantes para o alcance ou não dos valores estabelecidos como metas, visando a atender o disposto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2º, inciso I da LRF.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Assim, conforme demonstrado em audiência pública de avaliação das metas fiscais relativas ao terceiro quadrimestre do exercício financeiro de 2016 (art. 9º,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4º da LRF), o resultado primário, principal indicador de sustentabilidade fiscal do setor público, ficou em R$ 1.502.700,85, valor 23,77% inferior à meta estabelecida, que era de R$ 1.971.400,00. O desempenho verificado demonstra que o ingresso das receitas primárias (não financeiras) não foi capaz de suportar o total das despesas primárias (não financeiras) do exercício.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As receitas não financeiras totalizaram R$ 40.629.133,21, superando em 4,84% a projeção para o período de R$ 38.753.613,60. As despesas não financeiras atingiram R$ 39.126.432,36,  estabelecendo-se  6,37%  acima da previsão orçamentária. </a:t>
          </a:r>
        </a:p>
      </xdr:txBody>
    </xdr:sp>
    <xdr:clientData/>
  </xdr:twoCellAnchor>
  <xdr:twoCellAnchor editAs="oneCell">
    <xdr:from>
      <xdr:col>1</xdr:col>
      <xdr:colOff>581025</xdr:colOff>
      <xdr:row>0</xdr:row>
      <xdr:rowOff>66675</xdr:rowOff>
    </xdr:from>
    <xdr:to>
      <xdr:col>2</xdr:col>
      <xdr:colOff>123825</xdr:colOff>
      <xdr:row>2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667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48300"/>
          <a:ext cx="1034415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(2018), em comparação com as estabelecidas para os três exercícios anteriores  (2015, 2016 e 2017), bem como para os dois seguintes (2019 e 2020),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relativos às previsões de Receitas, Despesas e Resultado Primário de 2015, 2016 e 2017 foram atualizados pelas respectivas Leis Orçamentárias Anuais. Já os valores da previsão do Resultado Nominal, Dívida Consolidada e Dívida Consolidada Líquida, foram extraídos dos anexos de metas fiscais das respectivas LDO.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em relação às previsões para os exercícios de 2018, 2019 e 2020,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  <xdr:twoCellAnchor editAs="oneCell">
    <xdr:from>
      <xdr:col>3</xdr:col>
      <xdr:colOff>180975</xdr:colOff>
      <xdr:row>0</xdr:row>
      <xdr:rowOff>0</xdr:rowOff>
    </xdr:from>
    <xdr:to>
      <xdr:col>3</xdr:col>
      <xdr:colOff>609600</xdr:colOff>
      <xdr:row>2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28575</xdr:rowOff>
    </xdr:from>
    <xdr:to>
      <xdr:col>6</xdr:col>
      <xdr:colOff>552450</xdr:colOff>
      <xdr:row>45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42875" y="5562600"/>
          <a:ext cx="724852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a demonstrar a evolução do Patrimônio Líquido nos três exercícios anteriores ao da edição da LDO (2014, 2015 e 2016), cumprindo, dessa forma,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III,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Nesse sentido, é preciso enfatizar que o Município segue as normas da Lei 4.320/64, não apresentando no seu balanço as nomenclaturas previstas na Lei 6.404/76. Assim, em vez de "Resultado Acumulado", o Município utiliza a nomenclatura de "Superávit ou Déficit do Exercício".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Sistema de Previdência, está sobre a gestão do Fundo, sendo que seus registros contábeis estão em conformidade com as Normas do Ministério da Previdência Social e Apartados das demais contas do Munícipio. 
</a:t>
          </a:r>
        </a:p>
      </xdr:txBody>
    </xdr:sp>
    <xdr:clientData/>
  </xdr:twoCellAnchor>
  <xdr:twoCellAnchor editAs="oneCell">
    <xdr:from>
      <xdr:col>1</xdr:col>
      <xdr:colOff>561975</xdr:colOff>
      <xdr:row>0</xdr:row>
      <xdr:rowOff>19050</xdr:rowOff>
    </xdr:from>
    <xdr:to>
      <xdr:col>1</xdr:col>
      <xdr:colOff>981075</xdr:colOff>
      <xdr:row>2</xdr:row>
      <xdr:rowOff>123825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7:J26"/>
  <sheetViews>
    <sheetView showGridLines="0" zoomScale="120" zoomScaleNormal="120" zoomScaleSheetLayoutView="70" zoomScalePageLayoutView="0" workbookViewId="0" topLeftCell="A7">
      <selection activeCell="A9" sqref="A9:J9"/>
    </sheetView>
  </sheetViews>
  <sheetFormatPr defaultColWidth="8.8515625" defaultRowHeight="12.75"/>
  <cols>
    <col min="1" max="1" width="53.57421875" style="32" customWidth="1"/>
    <col min="2" max="2" width="16.8515625" style="32" customWidth="1"/>
    <col min="3" max="3" width="16.57421875" style="32" customWidth="1"/>
    <col min="4" max="4" width="13.00390625" style="32" customWidth="1"/>
    <col min="5" max="5" width="14.57421875" style="32" customWidth="1"/>
    <col min="6" max="6" width="15.8515625" style="32" customWidth="1"/>
    <col min="7" max="7" width="15.140625" style="32" customWidth="1"/>
    <col min="8" max="16384" width="8.8515625" style="32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48" customHeight="1">
      <c r="A7" s="325" t="s">
        <v>561</v>
      </c>
      <c r="B7" s="326"/>
      <c r="C7" s="326"/>
      <c r="D7" s="326"/>
      <c r="E7" s="326"/>
      <c r="F7" s="326"/>
      <c r="G7" s="326"/>
      <c r="H7" s="326"/>
      <c r="I7" s="326"/>
      <c r="J7" s="327"/>
    </row>
    <row r="8" spans="1:10" ht="12">
      <c r="A8" s="328" t="s">
        <v>236</v>
      </c>
      <c r="B8" s="329"/>
      <c r="C8" s="329"/>
      <c r="D8" s="329"/>
      <c r="E8" s="329"/>
      <c r="F8" s="329"/>
      <c r="G8" s="329"/>
      <c r="H8" s="329"/>
      <c r="I8" s="329"/>
      <c r="J8" s="330"/>
    </row>
    <row r="9" spans="1:10" ht="21" customHeight="1">
      <c r="A9" s="331" t="s">
        <v>562</v>
      </c>
      <c r="B9" s="332"/>
      <c r="C9" s="332"/>
      <c r="D9" s="332"/>
      <c r="E9" s="332"/>
      <c r="F9" s="332"/>
      <c r="G9" s="332"/>
      <c r="H9" s="333"/>
      <c r="I9" s="333"/>
      <c r="J9" s="334"/>
    </row>
    <row r="10" spans="1:10" ht="25.5" customHeight="1">
      <c r="A10" s="160" t="s">
        <v>536</v>
      </c>
      <c r="B10" s="160">
        <v>2015</v>
      </c>
      <c r="C10" s="160">
        <v>2016</v>
      </c>
      <c r="D10" s="160">
        <v>2017</v>
      </c>
      <c r="E10" s="160">
        <v>2018</v>
      </c>
      <c r="F10" s="160">
        <v>2019</v>
      </c>
      <c r="G10" s="160">
        <v>2020</v>
      </c>
      <c r="H10" s="41"/>
      <c r="I10" s="41"/>
      <c r="J10" s="41"/>
    </row>
    <row r="11" spans="1:7" ht="12.75">
      <c r="A11" s="161" t="s">
        <v>137</v>
      </c>
      <c r="B11" s="162">
        <v>0.1067</v>
      </c>
      <c r="C11" s="163">
        <v>0.0629</v>
      </c>
      <c r="D11" s="70">
        <v>0.0337</v>
      </c>
      <c r="E11" s="70">
        <v>0.042</v>
      </c>
      <c r="F11" s="70">
        <v>0.0425</v>
      </c>
      <c r="G11" s="70">
        <v>0.0411</v>
      </c>
    </row>
    <row r="12" spans="1:7" ht="12.75">
      <c r="A12" s="161" t="s">
        <v>138</v>
      </c>
      <c r="B12" s="162">
        <v>-0.038</v>
      </c>
      <c r="C12" s="163">
        <v>-0.036</v>
      </c>
      <c r="D12" s="70">
        <v>0.0031</v>
      </c>
      <c r="E12" s="70">
        <v>0.0199</v>
      </c>
      <c r="F12" s="70">
        <v>0.0247</v>
      </c>
      <c r="G12" s="70">
        <v>0.0245</v>
      </c>
    </row>
    <row r="13" spans="1:7" ht="12.75">
      <c r="A13" s="164" t="s">
        <v>139</v>
      </c>
      <c r="B13" s="165">
        <f>IF(Projeções!C107=0,"0",((Projeções!D107/Projeções!C107)-1)-B11-B18)</f>
        <v>-0.15081322162277053</v>
      </c>
      <c r="C13" s="165">
        <f>IF(Projeções!D107=0,"0",((Projeções!E107/Projeções!D107)-1)-C11-C18)</f>
        <v>-0.00429422867705543</v>
      </c>
      <c r="D13" s="165">
        <f>IF(Projeções!E107=0,"0",((Projeções!F107/Projeções!E107)-1)-D11-D18)</f>
        <v>-0.07936851707673273</v>
      </c>
      <c r="E13" s="163">
        <f aca="true" t="shared" si="0" ref="E13:G20">(B13+C13+D13)/3</f>
        <v>-0.07815865579218623</v>
      </c>
      <c r="F13" s="163">
        <f t="shared" si="0"/>
        <v>-0.05394046718199146</v>
      </c>
      <c r="G13" s="163">
        <f t="shared" si="0"/>
        <v>-0.07048921335030348</v>
      </c>
    </row>
    <row r="14" spans="1:7" ht="12.75">
      <c r="A14" s="166" t="s">
        <v>140</v>
      </c>
      <c r="B14" s="165">
        <f>IF(Projeções!C115=0,"0",((Projeções!D115/Projeções!C115)-1)-B11-B12)</f>
        <v>-0.07501496424889201</v>
      </c>
      <c r="C14" s="165">
        <f>IF(Projeções!D115=0,"0",((Projeções!E115/Projeções!D115)-1)-C11-C12)</f>
        <v>0.10354211226935486</v>
      </c>
      <c r="D14" s="165">
        <f>IF(Projeções!E115=0,"0",((Projeções!F115/Projeções!E115)-1)-D11-D12)</f>
        <v>-0.03725750433953351</v>
      </c>
      <c r="E14" s="163">
        <f t="shared" si="0"/>
        <v>-0.002910118773023551</v>
      </c>
      <c r="F14" s="163">
        <f t="shared" si="0"/>
        <v>0.021124829718932602</v>
      </c>
      <c r="G14" s="163">
        <f t="shared" si="0"/>
        <v>-0.006347597797874819</v>
      </c>
    </row>
    <row r="15" spans="1:7" ht="12.75">
      <c r="A15" s="166" t="s">
        <v>141</v>
      </c>
      <c r="B15" s="165">
        <f>IF(Projeções!C9=0,"0",((Projeções!D9/Projeções!C9)-1)-B11-B12)</f>
        <v>-0.03577310697904814</v>
      </c>
      <c r="C15" s="165">
        <f>IF(Projeções!D9=0,"0",((Projeções!E9/Projeções!D9)-1)-C11-C12)</f>
        <v>-0.04048185484730312</v>
      </c>
      <c r="D15" s="165">
        <f>IF(Projeções!E9=0,"0",((Projeções!F9/Projeções!E9)-1)-D11-D12)</f>
        <v>0.005363241029721242</v>
      </c>
      <c r="E15" s="163">
        <f t="shared" si="0"/>
        <v>-0.023630573598876672</v>
      </c>
      <c r="F15" s="163">
        <f t="shared" si="0"/>
        <v>-0.01958306247215285</v>
      </c>
      <c r="G15" s="163">
        <f t="shared" si="0"/>
        <v>-0.01261679834710276</v>
      </c>
    </row>
    <row r="16" spans="1:7" ht="12.75">
      <c r="A16" s="166" t="s">
        <v>412</v>
      </c>
      <c r="B16" s="165">
        <f>IF(Projeções!C38=0,"0",((Projeções!D38/Projeções!C38)-1)-B11-B12)</f>
        <v>-0.021572122313652707</v>
      </c>
      <c r="C16" s="165">
        <f>IF(Projeções!D38=0,"0",((Projeções!E38/Projeções!D38)-1)-C11-C12)</f>
        <v>0.09180592162949522</v>
      </c>
      <c r="D16" s="165">
        <f>IF(Projeções!E38=0,"0",((Projeções!F38/Projeções!E38)-1)-D11-D12)</f>
        <v>-0.056321851362268804</v>
      </c>
      <c r="E16" s="163">
        <f t="shared" si="0"/>
        <v>0.004637315984524566</v>
      </c>
      <c r="F16" s="163">
        <f t="shared" si="0"/>
        <v>0.013373795417250327</v>
      </c>
      <c r="G16" s="163">
        <f t="shared" si="0"/>
        <v>-0.01277024665349797</v>
      </c>
    </row>
    <row r="17" spans="1:7" ht="12.75">
      <c r="A17" s="166" t="s">
        <v>413</v>
      </c>
      <c r="B17" s="165">
        <f>IF(Projeções!C50=0,"0",((Projeções!D50/Projeções!C50)-1)-B11-B12)</f>
        <v>-0.049640249088979814</v>
      </c>
      <c r="C17" s="165">
        <f>IF(Projeções!D50=0,"0",((Projeções!E50/Projeções!D50)-1)-C11-C12)</f>
        <v>0.03258658173078236</v>
      </c>
      <c r="D17" s="165">
        <f>IF(Projeções!E50=0,"0",((Projeções!F50/Projeções!E50)-1)-D11-D12)</f>
        <v>0.031667044089443264</v>
      </c>
      <c r="E17" s="163">
        <f t="shared" si="0"/>
        <v>0.004871125577081937</v>
      </c>
      <c r="F17" s="163">
        <f t="shared" si="0"/>
        <v>0.02304158379910252</v>
      </c>
      <c r="G17" s="163">
        <f t="shared" si="0"/>
        <v>0.019859917821875905</v>
      </c>
    </row>
    <row r="18" spans="1:7" ht="12.75">
      <c r="A18" s="161" t="s">
        <v>414</v>
      </c>
      <c r="B18" s="71">
        <v>0.0835</v>
      </c>
      <c r="C18" s="71">
        <v>0.039</v>
      </c>
      <c r="D18" s="71">
        <v>0.0719</v>
      </c>
      <c r="E18" s="70">
        <v>0.05</v>
      </c>
      <c r="F18" s="70">
        <v>0.05</v>
      </c>
      <c r="G18" s="70">
        <v>0.05</v>
      </c>
    </row>
    <row r="19" spans="1:7" ht="12.75">
      <c r="A19" s="161" t="s">
        <v>415</v>
      </c>
      <c r="B19" s="71"/>
      <c r="C19" s="71"/>
      <c r="D19" s="71"/>
      <c r="E19" s="71"/>
      <c r="F19" s="71"/>
      <c r="G19" s="71"/>
    </row>
    <row r="20" spans="1:7" ht="12.75">
      <c r="A20" s="167" t="s">
        <v>148</v>
      </c>
      <c r="B20" s="165">
        <f>IF(Projeções!C120=0,"0",((Projeções!D120/Projeções!C120)-1)-B11-B12)</f>
        <v>0.16708485121253444</v>
      </c>
      <c r="C20" s="165">
        <f>IF(Projeções!D120=0,"0",((Projeções!E120/Projeções!D120)-1)-C11-C12)</f>
        <v>-0.4297594975759105</v>
      </c>
      <c r="D20" s="165">
        <f>IF(Projeções!E120=0,"0",((Projeções!F120/Projeções!E120)-1)-D11-D12)</f>
        <v>0.15283421080272447</v>
      </c>
      <c r="E20" s="163">
        <f t="shared" si="0"/>
        <v>-0.03661347852021718</v>
      </c>
      <c r="F20" s="163">
        <f t="shared" si="0"/>
        <v>-0.10451292176446773</v>
      </c>
      <c r="G20" s="163">
        <f t="shared" si="0"/>
        <v>0.003902603506013185</v>
      </c>
    </row>
    <row r="21" spans="1:7" ht="12.75">
      <c r="A21" s="167" t="s">
        <v>231</v>
      </c>
      <c r="B21" s="165">
        <v>0.1425</v>
      </c>
      <c r="C21" s="165">
        <v>0.1375</v>
      </c>
      <c r="D21" s="70">
        <v>0.1005</v>
      </c>
      <c r="E21" s="70">
        <v>0.0777</v>
      </c>
      <c r="F21" s="70">
        <v>0.083</v>
      </c>
      <c r="G21" s="70">
        <v>0.0832</v>
      </c>
    </row>
    <row r="22" spans="1:7" ht="12.75">
      <c r="A22" s="167" t="s">
        <v>152</v>
      </c>
      <c r="B22" s="168">
        <v>375094</v>
      </c>
      <c r="C22" s="168">
        <v>380449</v>
      </c>
      <c r="D22" s="169">
        <v>450366</v>
      </c>
      <c r="E22" s="169">
        <v>474557</v>
      </c>
      <c r="F22" s="169">
        <v>511885</v>
      </c>
      <c r="G22" s="169">
        <v>553008</v>
      </c>
    </row>
    <row r="23" spans="1:7" ht="14.25">
      <c r="A23" s="50"/>
      <c r="B23" s="50"/>
      <c r="C23" s="14"/>
      <c r="D23" s="14"/>
      <c r="E23" s="14"/>
      <c r="F23" s="14"/>
      <c r="G23" s="14"/>
    </row>
    <row r="24" spans="1:7" ht="12">
      <c r="A24" s="323"/>
      <c r="B24" s="324"/>
      <c r="C24" s="324"/>
      <c r="D24" s="324"/>
      <c r="E24" s="324"/>
      <c r="F24" s="324"/>
      <c r="G24" s="324"/>
    </row>
    <row r="25" spans="1:8" ht="12">
      <c r="A25" s="324"/>
      <c r="B25" s="324"/>
      <c r="C25" s="324"/>
      <c r="D25" s="324"/>
      <c r="E25" s="324"/>
      <c r="F25" s="324"/>
      <c r="G25" s="324"/>
      <c r="H25" s="43"/>
    </row>
    <row r="26" spans="1:8" ht="12">
      <c r="A26" s="324"/>
      <c r="B26" s="324"/>
      <c r="C26" s="324"/>
      <c r="D26" s="324"/>
      <c r="E26" s="324"/>
      <c r="F26" s="324"/>
      <c r="G26" s="324"/>
      <c r="H26" s="43"/>
    </row>
  </sheetData>
  <sheetProtection/>
  <mergeCells count="4">
    <mergeCell ref="A24:G26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300" verticalDpi="300" orientation="landscape" paperSize="9" scale="70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A1">
      <selection activeCell="A7" sqref="A7:L30"/>
    </sheetView>
  </sheetViews>
  <sheetFormatPr defaultColWidth="9.140625" defaultRowHeight="12.75"/>
  <cols>
    <col min="1" max="1" width="25.28125" style="12" customWidth="1"/>
    <col min="2" max="2" width="14.28125" style="12" customWidth="1"/>
    <col min="3" max="3" width="13.57421875" style="12" customWidth="1"/>
    <col min="4" max="4" width="10.28125" style="12" customWidth="1"/>
    <col min="5" max="5" width="14.57421875" style="12" customWidth="1"/>
    <col min="6" max="6" width="10.28125" style="12" customWidth="1"/>
    <col min="7" max="7" width="14.140625" style="12" customWidth="1"/>
    <col min="8" max="8" width="11.00390625" style="12" customWidth="1"/>
    <col min="9" max="9" width="15.140625" style="12" customWidth="1"/>
    <col min="10" max="10" width="11.7109375" style="12" customWidth="1"/>
    <col min="11" max="11" width="14.28125" style="12" customWidth="1"/>
    <col min="12" max="12" width="10.28125" style="12" customWidth="1"/>
    <col min="13" max="16384" width="9.140625" style="12" customWidth="1"/>
  </cols>
  <sheetData>
    <row r="1" spans="1:12" ht="12.75" customHeight="1">
      <c r="A1" s="400" t="s">
        <v>570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6"/>
    </row>
    <row r="2" spans="1:12" ht="12.75">
      <c r="A2" s="369" t="s">
        <v>36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1"/>
    </row>
    <row r="3" spans="1:12" ht="12.75">
      <c r="A3" s="369" t="str">
        <f>'Metas Cons'!A3:M3</f>
        <v>ANEXO DE METAS FISCAIS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1"/>
    </row>
    <row r="4" spans="1:12" ht="12.75">
      <c r="A4" s="374" t="s">
        <v>571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6"/>
    </row>
    <row r="5" spans="1:12" ht="12.75">
      <c r="A5" s="369" t="s">
        <v>439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1"/>
    </row>
    <row r="6" spans="1:12" ht="13.5" thickBot="1">
      <c r="A6" s="738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40"/>
    </row>
    <row r="7" spans="1:12" ht="12.75">
      <c r="A7" s="741" t="s">
        <v>547</v>
      </c>
      <c r="B7" s="742"/>
      <c r="C7" s="743"/>
      <c r="D7" s="743"/>
      <c r="E7" s="743"/>
      <c r="F7" s="743"/>
      <c r="G7" s="743"/>
      <c r="H7" s="743"/>
      <c r="I7" s="743"/>
      <c r="J7" s="743"/>
      <c r="K7" s="743"/>
      <c r="L7" s="744">
        <v>1</v>
      </c>
    </row>
    <row r="8" spans="1:12" ht="15.75" customHeight="1">
      <c r="A8" s="745" t="s">
        <v>59</v>
      </c>
      <c r="B8" s="733" t="s">
        <v>82</v>
      </c>
      <c r="C8" s="401"/>
      <c r="D8" s="401"/>
      <c r="E8" s="401"/>
      <c r="F8" s="401"/>
      <c r="G8" s="401"/>
      <c r="H8" s="401"/>
      <c r="I8" s="401"/>
      <c r="J8" s="401"/>
      <c r="K8" s="401"/>
      <c r="L8" s="746"/>
    </row>
    <row r="9" spans="1:12" s="13" customFormat="1" ht="15.75" customHeight="1">
      <c r="A9" s="747"/>
      <c r="B9" s="630">
        <v>2015</v>
      </c>
      <c r="C9" s="630">
        <f>B9+1</f>
        <v>2016</v>
      </c>
      <c r="D9" s="630" t="s">
        <v>124</v>
      </c>
      <c r="E9" s="630">
        <f>C9+1</f>
        <v>2017</v>
      </c>
      <c r="F9" s="630" t="s">
        <v>124</v>
      </c>
      <c r="G9" s="631">
        <f>E9+1</f>
        <v>2018</v>
      </c>
      <c r="H9" s="631" t="s">
        <v>124</v>
      </c>
      <c r="I9" s="631">
        <f>G9+1</f>
        <v>2019</v>
      </c>
      <c r="J9" s="631" t="s">
        <v>125</v>
      </c>
      <c r="K9" s="631">
        <f>I9+1</f>
        <v>2020</v>
      </c>
      <c r="L9" s="748" t="s">
        <v>124</v>
      </c>
    </row>
    <row r="10" spans="1:12" s="13" customFormat="1" ht="15.75" customHeight="1">
      <c r="A10" s="749"/>
      <c r="B10" s="633"/>
      <c r="C10" s="633"/>
      <c r="D10" s="633"/>
      <c r="E10" s="633"/>
      <c r="F10" s="633"/>
      <c r="G10" s="634"/>
      <c r="H10" s="634"/>
      <c r="I10" s="634"/>
      <c r="J10" s="634"/>
      <c r="K10" s="634"/>
      <c r="L10" s="750"/>
    </row>
    <row r="11" spans="1:12" ht="12.75">
      <c r="A11" s="751" t="s">
        <v>83</v>
      </c>
      <c r="B11" s="105">
        <v>39881000</v>
      </c>
      <c r="C11" s="105">
        <f>' Avaliação'!B11</f>
        <v>42428600</v>
      </c>
      <c r="D11" s="734">
        <f aca="true" t="shared" si="0" ref="D11:D18">IF(B11=0,"0",(C11/B11)-1)</f>
        <v>0.06388004312830664</v>
      </c>
      <c r="E11" s="105">
        <v>43229311.29</v>
      </c>
      <c r="F11" s="734">
        <f aca="true" t="shared" si="1" ref="F11:F18">IF(C11=0,"0",(E11/C11)-1)</f>
        <v>0.018871970557595485</v>
      </c>
      <c r="G11" s="735">
        <f>IF('Metas Cons'!B11=0,"0",('Metas Cons'!B11))</f>
        <v>44849000.00235084</v>
      </c>
      <c r="H11" s="736">
        <f>IF(E11=0,"0",(G11/E11)-1)</f>
        <v>0.037467372577030034</v>
      </c>
      <c r="I11" s="735">
        <f>IF('Metas Cons'!F11=0,"0",('Metas Cons'!F11))</f>
        <v>46749278.06246067</v>
      </c>
      <c r="J11" s="734">
        <f>IF(G11=0,"-",(I11/G11)-1)</f>
        <v>0.04237057816250589</v>
      </c>
      <c r="K11" s="735">
        <f>IF('Metas Cons'!J11=0,"0",('Metas Cons'!J11))</f>
        <v>48678241.97847867</v>
      </c>
      <c r="L11" s="752">
        <f>IF(I11=0,"-",(K11/I11)-1)</f>
        <v>0.04126189742311648</v>
      </c>
    </row>
    <row r="12" spans="1:12" ht="12.75">
      <c r="A12" s="751" t="s">
        <v>131</v>
      </c>
      <c r="B12" s="105">
        <v>35661000</v>
      </c>
      <c r="C12" s="105">
        <f>' Avaliação'!B12</f>
        <v>38753613.6</v>
      </c>
      <c r="D12" s="734">
        <f t="shared" si="0"/>
        <v>0.08672257087574664</v>
      </c>
      <c r="E12" s="105">
        <v>37910000</v>
      </c>
      <c r="F12" s="734">
        <f t="shared" si="1"/>
        <v>-0.021768643531089982</v>
      </c>
      <c r="G12" s="735">
        <f>IF('Metas Cons'!B12=0,"0",('Metas Cons'!B12))</f>
        <v>42396132.75731285</v>
      </c>
      <c r="H12" s="736">
        <f aca="true" t="shared" si="2" ref="H12:H18">IF(E12=0,"0",(G12/E12)-1)</f>
        <v>0.11833639560308229</v>
      </c>
      <c r="I12" s="735">
        <f>IF('Metas Cons'!F12=0,"0",('Metas Cons'!F12))</f>
        <v>44190916.72935766</v>
      </c>
      <c r="J12" s="734">
        <f aca="true" t="shared" si="3" ref="J12:J18">IF(G12=0,"-",(I12/G12)-1)</f>
        <v>0.04233367185442716</v>
      </c>
      <c r="K12" s="735">
        <f>IF('Metas Cons'!J12=0,"0",('Metas Cons'!J12))</f>
        <v>46010569.26031109</v>
      </c>
      <c r="L12" s="752">
        <f aca="true" t="shared" si="4" ref="L12:L17">IF(I12=0,"-",(K12/I12)-1)</f>
        <v>0.04117707134472193</v>
      </c>
    </row>
    <row r="13" spans="1:12" ht="12.75">
      <c r="A13" s="751" t="s">
        <v>84</v>
      </c>
      <c r="B13" s="105">
        <v>37311697.93</v>
      </c>
      <c r="C13" s="105">
        <f>' Avaliação'!B13</f>
        <v>43302213.6</v>
      </c>
      <c r="D13" s="734">
        <f t="shared" si="0"/>
        <v>0.16055328495740762</v>
      </c>
      <c r="E13" s="105">
        <v>41186817.09</v>
      </c>
      <c r="F13" s="734">
        <f t="shared" si="1"/>
        <v>-0.04885192543597816</v>
      </c>
      <c r="G13" s="735">
        <f>IF('Metas Cons'!B13=0,"0",('Metas Cons'!B13))</f>
        <v>44849000.00235084</v>
      </c>
      <c r="H13" s="736">
        <f t="shared" si="2"/>
        <v>0.0889163856568076</v>
      </c>
      <c r="I13" s="735">
        <f>IF('Metas Cons'!F13=0,"0",('Metas Cons'!F13))</f>
        <v>46749278.06246066</v>
      </c>
      <c r="J13" s="734">
        <f t="shared" si="3"/>
        <v>0.04237057816250567</v>
      </c>
      <c r="K13" s="735">
        <f>IF('Metas Cons'!J13=0,"0",('Metas Cons'!J13))</f>
        <v>48678241.97847867</v>
      </c>
      <c r="L13" s="752">
        <f t="shared" si="4"/>
        <v>0.0412618974231167</v>
      </c>
    </row>
    <row r="14" spans="1:12" ht="12.75">
      <c r="A14" s="751" t="s">
        <v>127</v>
      </c>
      <c r="B14" s="105">
        <v>34823000</v>
      </c>
      <c r="C14" s="105">
        <f>' Avaliação'!B14</f>
        <v>36782213.6</v>
      </c>
      <c r="D14" s="734">
        <f t="shared" si="0"/>
        <v>0.05626205668667272</v>
      </c>
      <c r="E14" s="105">
        <v>36727652.74</v>
      </c>
      <c r="F14" s="734">
        <f t="shared" si="1"/>
        <v>-0.001483349006488277</v>
      </c>
      <c r="G14" s="735">
        <f>IF('Metas Cons'!B14=0,"0",('Metas Cons'!B14))</f>
        <v>43583616.44541982</v>
      </c>
      <c r="H14" s="736">
        <f t="shared" si="2"/>
        <v>0.1866703476520568</v>
      </c>
      <c r="I14" s="735">
        <f>IF('Metas Cons'!F14=0,"0",('Metas Cons'!F14))</f>
        <v>45419576.70476342</v>
      </c>
      <c r="J14" s="734">
        <f t="shared" si="3"/>
        <v>0.042125009558185544</v>
      </c>
      <c r="K14" s="735">
        <f>IF('Metas Cons'!J14=0,"0",('Metas Cons'!J14))</f>
        <v>47282025.24536748</v>
      </c>
      <c r="L14" s="752">
        <f t="shared" si="4"/>
        <v>0.04100541387055112</v>
      </c>
    </row>
    <row r="15" spans="1:12" ht="12.75">
      <c r="A15" s="751" t="s">
        <v>85</v>
      </c>
      <c r="B15" s="105">
        <f>B12-B14</f>
        <v>838000</v>
      </c>
      <c r="C15" s="105">
        <f>' Avaliação'!B15</f>
        <v>1971400</v>
      </c>
      <c r="D15" s="734">
        <f t="shared" si="0"/>
        <v>1.352505966587112</v>
      </c>
      <c r="E15" s="105">
        <f>E12-E14</f>
        <v>1182347.259999998</v>
      </c>
      <c r="F15" s="734">
        <f t="shared" si="1"/>
        <v>-0.4002499442020909</v>
      </c>
      <c r="G15" s="735">
        <f>IF('Metas Cons'!B15=0,"0",('Metas Cons'!B15))</f>
        <v>-1187483.688106969</v>
      </c>
      <c r="H15" s="736">
        <f t="shared" si="2"/>
        <v>-2.0043442635516158</v>
      </c>
      <c r="I15" s="735">
        <f>IF('Metas Cons'!F15=0,"0",('Metas Cons'!F15))</f>
        <v>-1228659.97540576</v>
      </c>
      <c r="J15" s="734">
        <f t="shared" si="3"/>
        <v>0.03467524456224935</v>
      </c>
      <c r="K15" s="735">
        <f>IF('Metas Cons'!J15=0,"0",('Metas Cons'!J15))</f>
        <v>-1271455.9850563928</v>
      </c>
      <c r="L15" s="752">
        <f t="shared" si="4"/>
        <v>0.03483145093621154</v>
      </c>
    </row>
    <row r="16" spans="1:12" ht="12.75">
      <c r="A16" s="751" t="s">
        <v>86</v>
      </c>
      <c r="B16" s="106">
        <v>130149.74</v>
      </c>
      <c r="C16" s="105">
        <f>' Avaliação'!B16</f>
        <v>1483015.86</v>
      </c>
      <c r="D16" s="734">
        <f t="shared" si="0"/>
        <v>10.394689378557345</v>
      </c>
      <c r="E16" s="106">
        <v>1324131.47</v>
      </c>
      <c r="F16" s="734">
        <f t="shared" si="1"/>
        <v>-0.10713600190358052</v>
      </c>
      <c r="G16" s="735">
        <f>IF('Metas Cons'!B16=0,"0",('Metas Cons'!B16))</f>
        <v>-899392.7802643494</v>
      </c>
      <c r="H16" s="736">
        <f t="shared" si="2"/>
        <v>-1.6792322368596446</v>
      </c>
      <c r="I16" s="735">
        <f>IF('Metas Cons'!F16=0,"0",('Metas Cons'!F16))</f>
        <v>-300607.2197356506</v>
      </c>
      <c r="J16" s="734">
        <f t="shared" si="3"/>
        <v>-0.6657664745237379</v>
      </c>
      <c r="K16" s="735" t="str">
        <f>IF('Metas Cons'!J16=0,"0",('Metas Cons'!J16))</f>
        <v>0</v>
      </c>
      <c r="L16" s="752">
        <f t="shared" si="4"/>
        <v>-1</v>
      </c>
    </row>
    <row r="17" spans="1:12" ht="12.75">
      <c r="A17" s="751" t="s">
        <v>87</v>
      </c>
      <c r="B17" s="106">
        <v>1435701.92</v>
      </c>
      <c r="C17" s="105">
        <f>' Avaliação'!B17</f>
        <v>4910030.79</v>
      </c>
      <c r="D17" s="734">
        <f t="shared" si="0"/>
        <v>2.419951399103792</v>
      </c>
      <c r="E17" s="106">
        <v>4804563.51</v>
      </c>
      <c r="F17" s="734">
        <f t="shared" si="1"/>
        <v>-0.021479963061494467</v>
      </c>
      <c r="G17" s="735">
        <f>IF('Metas Cons'!B17=0,"0",('Metas Cons'!B17))</f>
        <v>1471096.443068984</v>
      </c>
      <c r="H17" s="736">
        <f t="shared" si="2"/>
        <v>-0.693812676217702</v>
      </c>
      <c r="I17" s="735">
        <f>IF('Metas Cons'!F17=0,"0",('Metas Cons'!F17))</f>
        <v>363496.0901464686</v>
      </c>
      <c r="J17" s="734">
        <f t="shared" si="3"/>
        <v>-0.7529080490547939</v>
      </c>
      <c r="K17" s="735">
        <f>IF('Metas Cons'!J17=0,"0",('Metas Cons'!J17))</f>
        <v>-952477.7682645307</v>
      </c>
      <c r="L17" s="752">
        <f t="shared" si="4"/>
        <v>-3.6203246584598348</v>
      </c>
    </row>
    <row r="18" spans="1:12" ht="12.75">
      <c r="A18" s="753" t="s">
        <v>81</v>
      </c>
      <c r="B18" s="107">
        <v>609793.19</v>
      </c>
      <c r="C18" s="105">
        <f>' Avaliação'!B18</f>
        <v>3383434.02</v>
      </c>
      <c r="D18" s="734">
        <f t="shared" si="0"/>
        <v>4.548494269016025</v>
      </c>
      <c r="E18" s="107">
        <v>3280432.04</v>
      </c>
      <c r="F18" s="734">
        <f t="shared" si="1"/>
        <v>-0.030443029002823585</v>
      </c>
      <c r="G18" s="735">
        <f>IF('Metas Cons'!B18=0,"0",('Metas Cons'!B18))</f>
        <v>300607.2197356506</v>
      </c>
      <c r="H18" s="736">
        <f t="shared" si="2"/>
        <v>-0.9083635277090969</v>
      </c>
      <c r="I18" s="735" t="str">
        <f>IF('Metas Cons'!F18=0,"0",('Metas Cons'!F18))</f>
        <v>0</v>
      </c>
      <c r="J18" s="734">
        <f t="shared" si="3"/>
        <v>-1</v>
      </c>
      <c r="K18" s="735" t="str">
        <f>IF('Metas Cons'!J18=0,"0",('Metas Cons'!J18))</f>
        <v>0</v>
      </c>
      <c r="L18" s="752"/>
    </row>
    <row r="19" spans="1:12" ht="12.75">
      <c r="A19" s="754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746"/>
    </row>
    <row r="20" spans="1:12" ht="15.75" customHeight="1">
      <c r="A20" s="755" t="s">
        <v>59</v>
      </c>
      <c r="B20" s="733" t="s">
        <v>88</v>
      </c>
      <c r="C20" s="401"/>
      <c r="D20" s="401"/>
      <c r="E20" s="401"/>
      <c r="F20" s="401"/>
      <c r="G20" s="401"/>
      <c r="H20" s="401"/>
      <c r="I20" s="401"/>
      <c r="J20" s="401"/>
      <c r="K20" s="401"/>
      <c r="L20" s="746"/>
    </row>
    <row r="21" spans="1:12" s="13" customFormat="1" ht="15.75" customHeight="1">
      <c r="A21" s="747"/>
      <c r="B21" s="630">
        <v>2015</v>
      </c>
      <c r="C21" s="630">
        <f>B21+1</f>
        <v>2016</v>
      </c>
      <c r="D21" s="630" t="s">
        <v>124</v>
      </c>
      <c r="E21" s="630">
        <f>C21+1</f>
        <v>2017</v>
      </c>
      <c r="F21" s="631" t="s">
        <v>124</v>
      </c>
      <c r="G21" s="631">
        <f>E21+1</f>
        <v>2018</v>
      </c>
      <c r="H21" s="631" t="s">
        <v>124</v>
      </c>
      <c r="I21" s="631">
        <f>G21+1</f>
        <v>2019</v>
      </c>
      <c r="J21" s="631" t="s">
        <v>124</v>
      </c>
      <c r="K21" s="631">
        <f>I21+1</f>
        <v>2020</v>
      </c>
      <c r="L21" s="748" t="s">
        <v>124</v>
      </c>
    </row>
    <row r="22" spans="1:12" s="13" customFormat="1" ht="15.75" customHeight="1">
      <c r="A22" s="749"/>
      <c r="B22" s="633"/>
      <c r="C22" s="633"/>
      <c r="D22" s="633"/>
      <c r="E22" s="633"/>
      <c r="F22" s="634"/>
      <c r="G22" s="634"/>
      <c r="H22" s="634"/>
      <c r="I22" s="634"/>
      <c r="J22" s="634"/>
      <c r="K22" s="634"/>
      <c r="L22" s="750"/>
    </row>
    <row r="23" spans="1:12" ht="12.75">
      <c r="A23" s="751" t="s">
        <v>83</v>
      </c>
      <c r="B23" s="735">
        <f>B11*((1+Parâmetros!C11)*(1+Parâmetros!D11))</f>
        <v>43818041.55213</v>
      </c>
      <c r="C23" s="105">
        <f>C11*(1+Parâmetros!D11)</f>
        <v>43858443.82</v>
      </c>
      <c r="D23" s="734">
        <f>IF(B23=0,"-",(C23/B23)-1)</f>
        <v>0.0009220464091699299</v>
      </c>
      <c r="E23" s="105">
        <f>E11</f>
        <v>43229311.29</v>
      </c>
      <c r="F23" s="734">
        <f>IF(C23=0,"-",(E23/C23)-1)</f>
        <v>-0.01434461588701208</v>
      </c>
      <c r="G23" s="735">
        <f>'Metas Cons'!C11</f>
        <v>43041266.7968818</v>
      </c>
      <c r="H23" s="734">
        <f>IF(E23=0,"-",(G23/E23)-1)</f>
        <v>-0.004349930348339748</v>
      </c>
      <c r="I23" s="735">
        <f>'Metas Cons'!G11</f>
        <v>43035923.4109471</v>
      </c>
      <c r="J23" s="734">
        <f>IF(G23=0,"-",(I23/G23)-1)</f>
        <v>-0.00012414564747642576</v>
      </c>
      <c r="K23" s="735">
        <f>'Metas Cons'!K11</f>
        <v>43042615.760482855</v>
      </c>
      <c r="L23" s="752">
        <f>IF(I23=0,"-",(K23/I23)-1)</f>
        <v>0.0001555061215219311</v>
      </c>
    </row>
    <row r="24" spans="1:12" ht="12.75">
      <c r="A24" s="751" t="s">
        <v>131</v>
      </c>
      <c r="B24" s="735">
        <f>B12*((1+Parâmetros!C11)*(1+Parâmetros!D11))</f>
        <v>39181444.29153</v>
      </c>
      <c r="C24" s="105">
        <f>C12*(1+Parâmetros!D11)</f>
        <v>40059610.37832</v>
      </c>
      <c r="D24" s="734">
        <f aca="true" t="shared" si="5" ref="D24:D30">IF(B24=0,"-",(C24/B24)-1)</f>
        <v>0.022412805415134684</v>
      </c>
      <c r="E24" s="105">
        <f>E12</f>
        <v>37910000</v>
      </c>
      <c r="F24" s="734">
        <f>IF(C24=0,"-",(E24/C24)-1)</f>
        <v>-0.05366029170077391</v>
      </c>
      <c r="G24" s="737">
        <f>'Metas Cons'!C12</f>
        <v>40687267.52141348</v>
      </c>
      <c r="H24" s="734">
        <f aca="true" t="shared" si="6" ref="H24:H30">IF(E24=0,"-",(G24/E24)-1)</f>
        <v>0.0732594967400022</v>
      </c>
      <c r="I24" s="737">
        <f>'Metas Cons'!G12</f>
        <v>40680775.974406034</v>
      </c>
      <c r="J24" s="734">
        <f aca="true" t="shared" si="7" ref="J24:J30">IF(G24=0,"-",(I24/G24)-1)</f>
        <v>-0.0001595473818445381</v>
      </c>
      <c r="K24" s="737">
        <f>'Metas Cons'!K12</f>
        <v>40683787.52191222</v>
      </c>
      <c r="L24" s="752">
        <f aca="true" t="shared" si="8" ref="L24:L29">IF(I24=0,"-",(K24/I24)-1)</f>
        <v>7.40287625800029E-05</v>
      </c>
    </row>
    <row r="25" spans="1:12" ht="12.75">
      <c r="A25" s="751" t="s">
        <v>84</v>
      </c>
      <c r="B25" s="735">
        <f>B13*((1+Parâmetros!C11)*(1+Parâmetros!D11))</f>
        <v>40995098.67549116</v>
      </c>
      <c r="C25" s="105">
        <f>C13*(1+Parâmetros!D11)</f>
        <v>44761498.19832</v>
      </c>
      <c r="D25" s="734">
        <f t="shared" si="5"/>
        <v>0.09187438607339105</v>
      </c>
      <c r="E25" s="105">
        <f>E13</f>
        <v>41186817.09</v>
      </c>
      <c r="F25" s="734">
        <f aca="true" t="shared" si="9" ref="F25:F30">IF(C25=0,"-",(E25/C25)-1)</f>
        <v>-0.07986062245910619</v>
      </c>
      <c r="G25" s="737">
        <f>'Metas Cons'!C13</f>
        <v>43041266.7968818</v>
      </c>
      <c r="H25" s="734">
        <f t="shared" si="6"/>
        <v>0.04502532212745458</v>
      </c>
      <c r="I25" s="737">
        <f>'Metas Cons'!G13</f>
        <v>43035923.41094709</v>
      </c>
      <c r="J25" s="734">
        <f t="shared" si="7"/>
        <v>-0.00012414564747653678</v>
      </c>
      <c r="K25" s="737">
        <f>'Metas Cons'!K13</f>
        <v>43042615.760482855</v>
      </c>
      <c r="L25" s="752">
        <f t="shared" si="8"/>
        <v>0.00015550612152215315</v>
      </c>
    </row>
    <row r="26" spans="1:12" ht="12.75">
      <c r="A26" s="751" t="s">
        <v>127</v>
      </c>
      <c r="B26" s="735">
        <f>B14*((1+Parâmetros!C11)*(1+Parâmetros!D11))</f>
        <v>38260717.15779</v>
      </c>
      <c r="C26" s="105">
        <f>C14*(1+Parâmetros!D11)</f>
        <v>38021774.19832</v>
      </c>
      <c r="D26" s="734">
        <f t="shared" si="5"/>
        <v>-0.006245124953737191</v>
      </c>
      <c r="E26" s="105">
        <f>E14</f>
        <v>36727652.74</v>
      </c>
      <c r="F26" s="734">
        <f t="shared" si="9"/>
        <v>-0.03403632485874841</v>
      </c>
      <c r="G26" s="737">
        <f>'Metas Cons'!C14</f>
        <v>41826887.18370424</v>
      </c>
      <c r="H26" s="734">
        <f t="shared" si="6"/>
        <v>0.13883910523230014</v>
      </c>
      <c r="I26" s="737">
        <f>'Metas Cons'!G14</f>
        <v>41811841.924323194</v>
      </c>
      <c r="J26" s="734">
        <f t="shared" si="7"/>
        <v>-0.00035970306169252897</v>
      </c>
      <c r="K26" s="737">
        <f>'Metas Cons'!K14</f>
        <v>41808043.23035263</v>
      </c>
      <c r="L26" s="752">
        <f t="shared" si="8"/>
        <v>-9.085210781756281E-05</v>
      </c>
    </row>
    <row r="27" spans="1:12" ht="12.75">
      <c r="A27" s="751" t="s">
        <v>85</v>
      </c>
      <c r="B27" s="735">
        <f>B24-B26</f>
        <v>920727.1337400004</v>
      </c>
      <c r="C27" s="737">
        <f>C24-C26</f>
        <v>2037836.1799999997</v>
      </c>
      <c r="D27" s="734">
        <f t="shared" si="5"/>
        <v>1.2132900240729239</v>
      </c>
      <c r="E27" s="737">
        <f>E24-E26</f>
        <v>1182347.259999998</v>
      </c>
      <c r="F27" s="734">
        <f t="shared" si="9"/>
        <v>-0.41980259669351927</v>
      </c>
      <c r="G27" s="737">
        <f>'Metas Cons'!C15</f>
        <v>-1139619.662290757</v>
      </c>
      <c r="H27" s="734">
        <f t="shared" si="6"/>
        <v>-1.9638620571512628</v>
      </c>
      <c r="I27" s="737">
        <f>'Metas Cons'!G15</f>
        <v>-1131065.949917158</v>
      </c>
      <c r="J27" s="734">
        <f t="shared" si="7"/>
        <v>-0.007505760611751011</v>
      </c>
      <c r="K27" s="737">
        <f>'Metas Cons'!K15</f>
        <v>-1124255.7084404163</v>
      </c>
      <c r="L27" s="752">
        <f t="shared" si="8"/>
        <v>-0.006021082570154879</v>
      </c>
    </row>
    <row r="28" spans="1:12" ht="12.75">
      <c r="A28" s="751" t="s">
        <v>86</v>
      </c>
      <c r="B28" s="735">
        <f>B16*((1+Parâmetros!C11)*(1+Parâmetros!D11))</f>
        <v>142998.0871923702</v>
      </c>
      <c r="C28" s="105">
        <f>C16*(1+Parâmetros!D11)</f>
        <v>1532993.4944820001</v>
      </c>
      <c r="D28" s="734">
        <f t="shared" si="5"/>
        <v>9.720377625888931</v>
      </c>
      <c r="E28" s="105">
        <f>E16</f>
        <v>1324131.47</v>
      </c>
      <c r="F28" s="734">
        <f t="shared" si="9"/>
        <v>-0.13624456022403075</v>
      </c>
      <c r="G28" s="737">
        <f>'Metas Cons'!C16</f>
        <v>-863140.8639773027</v>
      </c>
      <c r="H28" s="734">
        <f t="shared" si="6"/>
        <v>-1.6518543539919814</v>
      </c>
      <c r="I28" s="737">
        <f>'Metas Cons'!G16</f>
        <v>-276729.60570720444</v>
      </c>
      <c r="J28" s="734">
        <f t="shared" si="7"/>
        <v>-0.6793923017014273</v>
      </c>
      <c r="K28" s="737">
        <f>'Metas Cons'!K16</f>
        <v>0</v>
      </c>
      <c r="L28" s="752">
        <f t="shared" si="8"/>
        <v>-1</v>
      </c>
    </row>
    <row r="29" spans="1:12" ht="12.75">
      <c r="A29" s="751" t="s">
        <v>87</v>
      </c>
      <c r="B29" s="735">
        <f>B17*((1+Parâmetros!C11)*(1+Parâmetros!D11))</f>
        <v>1577434.0259028815</v>
      </c>
      <c r="C29" s="105">
        <f>C17*(1+Parâmetros!D11)</f>
        <v>5075498.827623</v>
      </c>
      <c r="D29" s="734">
        <f t="shared" si="5"/>
        <v>2.2175664682508156</v>
      </c>
      <c r="E29" s="105">
        <f>E17</f>
        <v>4804563.51</v>
      </c>
      <c r="F29" s="734">
        <f t="shared" si="9"/>
        <v>-0.053381022599878536</v>
      </c>
      <c r="G29" s="737">
        <f>'Metas Cons'!C17</f>
        <v>1411800.8090873165</v>
      </c>
      <c r="H29" s="734">
        <f t="shared" si="6"/>
        <v>-0.70615419982505</v>
      </c>
      <c r="I29" s="737">
        <f>'Metas Cons'!G17</f>
        <v>334623.13310638425</v>
      </c>
      <c r="J29" s="734">
        <f t="shared" si="7"/>
        <v>-0.7629813420189869</v>
      </c>
      <c r="K29" s="737">
        <f>'Metas Cons'!K17</f>
        <v>-842206.5574582136</v>
      </c>
      <c r="L29" s="752">
        <f t="shared" si="8"/>
        <v>-3.5168808553067286</v>
      </c>
    </row>
    <row r="30" spans="1:12" ht="13.5" thickBot="1">
      <c r="A30" s="756" t="s">
        <v>81</v>
      </c>
      <c r="B30" s="757">
        <f>B18*((1+Parâmetros!C11)*(1+Parâmetros!D11))</f>
        <v>669991.8090726386</v>
      </c>
      <c r="C30" s="758">
        <f>C18*(1+Parâmetros!D11)</f>
        <v>3497455.746474</v>
      </c>
      <c r="D30" s="759">
        <f t="shared" si="5"/>
        <v>4.220147021371743</v>
      </c>
      <c r="E30" s="758">
        <f>E18</f>
        <v>3280432.04</v>
      </c>
      <c r="F30" s="759">
        <f t="shared" si="9"/>
        <v>-0.0620518806257363</v>
      </c>
      <c r="G30" s="760">
        <f>'Metas Cons'!C18</f>
        <v>288490.6139497606</v>
      </c>
      <c r="H30" s="759">
        <f t="shared" si="6"/>
        <v>-0.9120571283196708</v>
      </c>
      <c r="I30" s="757" t="str">
        <f>IF('Metas Cons'!G18=0,"0",('Metas Cons'!G18))</f>
        <v>0</v>
      </c>
      <c r="J30" s="759">
        <f t="shared" si="7"/>
        <v>-1</v>
      </c>
      <c r="K30" s="757" t="str">
        <f>IF('Metas Cons'!K18=0,"0",('Metas Cons'!K18))</f>
        <v>0</v>
      </c>
      <c r="L30" s="761"/>
    </row>
    <row r="31" spans="1:12" ht="12.75">
      <c r="A31" s="687" t="s">
        <v>228</v>
      </c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687"/>
    </row>
  </sheetData>
  <sheetProtection/>
  <mergeCells count="35">
    <mergeCell ref="L21:L22"/>
    <mergeCell ref="G21:G22"/>
    <mergeCell ref="H21:H22"/>
    <mergeCell ref="A21:A22"/>
    <mergeCell ref="B21:B22"/>
    <mergeCell ref="C21:C22"/>
    <mergeCell ref="D21:D22"/>
    <mergeCell ref="E21:E22"/>
    <mergeCell ref="A31:L31"/>
    <mergeCell ref="F21:F22"/>
    <mergeCell ref="I21:I22"/>
    <mergeCell ref="J21:J22"/>
    <mergeCell ref="K21:K22"/>
    <mergeCell ref="D9:D10"/>
    <mergeCell ref="E9:E10"/>
    <mergeCell ref="G9:G10"/>
    <mergeCell ref="H9:H10"/>
    <mergeCell ref="I9:I10"/>
    <mergeCell ref="B20:L20"/>
    <mergeCell ref="J9:J10"/>
    <mergeCell ref="K9:K10"/>
    <mergeCell ref="L9:L10"/>
    <mergeCell ref="A6:L6"/>
    <mergeCell ref="F9:F10"/>
    <mergeCell ref="A19:L19"/>
    <mergeCell ref="B8:L8"/>
    <mergeCell ref="A9:A10"/>
    <mergeCell ref="B9:B10"/>
    <mergeCell ref="C9:C10"/>
    <mergeCell ref="A7:B7"/>
    <mergeCell ref="A1:L1"/>
    <mergeCell ref="A2:L2"/>
    <mergeCell ref="A3:L3"/>
    <mergeCell ref="A4:L4"/>
    <mergeCell ref="A5:L5"/>
  </mergeCells>
  <printOptions/>
  <pageMargins left="0.787401575" right="0.787401575" top="0.984251969" bottom="0.984251969" header="0.492125985" footer="0.492125985"/>
  <pageSetup horizontalDpi="300" verticalDpi="3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4"/>
  <dimension ref="A1:G27"/>
  <sheetViews>
    <sheetView zoomScale="90" zoomScaleNormal="90" zoomScaleSheetLayoutView="90" zoomScalePageLayoutView="0" workbookViewId="0" topLeftCell="A1">
      <selection activeCell="A21" sqref="A21:G26"/>
    </sheetView>
  </sheetViews>
  <sheetFormatPr defaultColWidth="9.140625" defaultRowHeight="12.75"/>
  <cols>
    <col min="1" max="1" width="28.7109375" style="12" customWidth="1"/>
    <col min="2" max="2" width="17.57421875" style="12" customWidth="1"/>
    <col min="3" max="3" width="10.140625" style="12" customWidth="1"/>
    <col min="4" max="4" width="17.7109375" style="12" customWidth="1"/>
    <col min="5" max="5" width="10.421875" style="12" customWidth="1"/>
    <col min="6" max="6" width="18.00390625" style="12" customWidth="1"/>
    <col min="7" max="7" width="10.7109375" style="12" customWidth="1"/>
    <col min="8" max="16384" width="9.140625" style="12" customWidth="1"/>
  </cols>
  <sheetData>
    <row r="1" spans="1:7" ht="12.75">
      <c r="A1" s="408" t="s">
        <v>572</v>
      </c>
      <c r="B1" s="409"/>
      <c r="C1" s="409"/>
      <c r="D1" s="409"/>
      <c r="E1" s="409"/>
      <c r="F1" s="409"/>
      <c r="G1" s="410"/>
    </row>
    <row r="2" spans="1:7" ht="12.75">
      <c r="A2" s="411" t="s">
        <v>36</v>
      </c>
      <c r="B2" s="412"/>
      <c r="C2" s="412"/>
      <c r="D2" s="412"/>
      <c r="E2" s="412"/>
      <c r="F2" s="412"/>
      <c r="G2" s="413"/>
    </row>
    <row r="3" spans="1:7" ht="12.75">
      <c r="A3" s="411" t="str">
        <f>'Metas Cons'!A3:M3</f>
        <v>ANEXO DE METAS FISCAIS</v>
      </c>
      <c r="B3" s="412"/>
      <c r="C3" s="412"/>
      <c r="D3" s="412"/>
      <c r="E3" s="412"/>
      <c r="F3" s="412"/>
      <c r="G3" s="413"/>
    </row>
    <row r="4" spans="1:7" ht="12.75">
      <c r="A4" s="402" t="s">
        <v>573</v>
      </c>
      <c r="B4" s="403"/>
      <c r="C4" s="403"/>
      <c r="D4" s="403"/>
      <c r="E4" s="403"/>
      <c r="F4" s="403"/>
      <c r="G4" s="404"/>
    </row>
    <row r="5" spans="1:7" ht="12.75">
      <c r="A5" s="405" t="s">
        <v>443</v>
      </c>
      <c r="B5" s="406"/>
      <c r="C5" s="406"/>
      <c r="D5" s="406"/>
      <c r="E5" s="406"/>
      <c r="F5" s="406"/>
      <c r="G5" s="407"/>
    </row>
    <row r="6" spans="1:7" ht="12.75">
      <c r="A6" s="405"/>
      <c r="B6" s="406"/>
      <c r="C6" s="406"/>
      <c r="D6" s="406"/>
      <c r="E6" s="406"/>
      <c r="F6" s="406"/>
      <c r="G6" s="407"/>
    </row>
    <row r="7" spans="1:7" ht="15.75" thickBot="1">
      <c r="A7" s="762" t="s">
        <v>546</v>
      </c>
      <c r="B7" s="763"/>
      <c r="C7" s="768"/>
      <c r="D7" s="768"/>
      <c r="E7" s="768"/>
      <c r="F7" s="768"/>
      <c r="G7" s="769">
        <v>1</v>
      </c>
    </row>
    <row r="8" spans="1:7" s="13" customFormat="1" ht="25.5" customHeight="1">
      <c r="A8" s="770" t="s">
        <v>89</v>
      </c>
      <c r="B8" s="771">
        <v>2016</v>
      </c>
      <c r="C8" s="771" t="s">
        <v>13</v>
      </c>
      <c r="D8" s="771">
        <f>B8-1</f>
        <v>2015</v>
      </c>
      <c r="E8" s="771" t="s">
        <v>13</v>
      </c>
      <c r="F8" s="771">
        <f>D8-1</f>
        <v>2014</v>
      </c>
      <c r="G8" s="772" t="s">
        <v>13</v>
      </c>
    </row>
    <row r="9" spans="1:7" ht="15">
      <c r="A9" s="773" t="s">
        <v>90</v>
      </c>
      <c r="B9" s="44">
        <f>D12</f>
        <v>13582664.73</v>
      </c>
      <c r="C9" s="774">
        <f>IF(B12=0,"-",(B9/B12))</f>
        <v>0.3455818950763944</v>
      </c>
      <c r="D9" s="44">
        <f>F12</f>
        <v>15189559.94</v>
      </c>
      <c r="E9" s="774">
        <f>IF(D12=0,"-",(D9/D12))</f>
        <v>1.1183048571059</v>
      </c>
      <c r="F9" s="44">
        <v>14971426.42</v>
      </c>
      <c r="G9" s="775">
        <f>IF(F12=0,"-",(F9/F12))</f>
        <v>0.985639246899736</v>
      </c>
    </row>
    <row r="10" spans="1:7" ht="15">
      <c r="A10" s="773" t="s">
        <v>41</v>
      </c>
      <c r="B10" s="65"/>
      <c r="C10" s="774">
        <f>IF(B12=0,"-",(B10/B12))</f>
        <v>0</v>
      </c>
      <c r="D10" s="65"/>
      <c r="E10" s="774">
        <f>IF(D12=0,"-",(D10/D12))</f>
        <v>0</v>
      </c>
      <c r="F10" s="65"/>
      <c r="G10" s="775">
        <f>IF(F12=0,"-",(F10/F12))</f>
        <v>0</v>
      </c>
    </row>
    <row r="11" spans="1:7" ht="15">
      <c r="A11" s="776" t="s">
        <v>91</v>
      </c>
      <c r="B11" s="66">
        <v>25721086.2</v>
      </c>
      <c r="C11" s="777">
        <f>IF(B12=0,"-",(B11/B12))</f>
        <v>0.6544181049236055</v>
      </c>
      <c r="D11" s="66">
        <v>-1606895.21</v>
      </c>
      <c r="E11" s="777">
        <f>IF(D12=0,"-",(D11/D12))</f>
        <v>-0.11830485710590015</v>
      </c>
      <c r="F11" s="66">
        <v>218133.52</v>
      </c>
      <c r="G11" s="778">
        <f>IF(F12=0,"-",(F11/F12))</f>
        <v>0.014360753100263943</v>
      </c>
    </row>
    <row r="12" spans="1:7" ht="15.75" thickBot="1">
      <c r="A12" s="779" t="s">
        <v>92</v>
      </c>
      <c r="B12" s="780">
        <f>SUM(B9:B11)</f>
        <v>39303750.93</v>
      </c>
      <c r="C12" s="781">
        <f>IF(B12=0,"-",(B12/B12))</f>
        <v>1</v>
      </c>
      <c r="D12" s="780">
        <f>SUM(D9:D11)</f>
        <v>13582664.73</v>
      </c>
      <c r="E12" s="781">
        <f>IF(D12=0,"-",(D12/D12))</f>
        <v>1</v>
      </c>
      <c r="F12" s="780">
        <f>SUM(F9:F11)</f>
        <v>15189559.94</v>
      </c>
      <c r="G12" s="782">
        <f>IF(F12=0,"-",(F12/F12))</f>
        <v>1</v>
      </c>
    </row>
    <row r="13" spans="1:7" ht="15">
      <c r="A13" s="764"/>
      <c r="B13" s="764"/>
      <c r="C13" s="764"/>
      <c r="D13" s="764"/>
      <c r="E13" s="764"/>
      <c r="F13" s="764"/>
      <c r="G13" s="764"/>
    </row>
    <row r="14" spans="1:7" ht="15.75" customHeight="1" thickBot="1">
      <c r="A14" s="765" t="s">
        <v>93</v>
      </c>
      <c r="B14" s="765"/>
      <c r="C14" s="765"/>
      <c r="D14" s="765"/>
      <c r="E14" s="765"/>
      <c r="F14" s="765"/>
      <c r="G14" s="765"/>
    </row>
    <row r="15" spans="1:7" s="13" customFormat="1" ht="25.5" customHeight="1">
      <c r="A15" s="783" t="s">
        <v>89</v>
      </c>
      <c r="B15" s="784">
        <v>2016</v>
      </c>
      <c r="C15" s="784" t="s">
        <v>13</v>
      </c>
      <c r="D15" s="784">
        <f>B15-1</f>
        <v>2015</v>
      </c>
      <c r="E15" s="784" t="s">
        <v>13</v>
      </c>
      <c r="F15" s="784">
        <f>D15-1</f>
        <v>2014</v>
      </c>
      <c r="G15" s="785" t="s">
        <v>13</v>
      </c>
    </row>
    <row r="16" spans="1:7" ht="15">
      <c r="A16" s="786" t="s">
        <v>90</v>
      </c>
      <c r="B16" s="44">
        <f>D19</f>
        <v>4879040.890000001</v>
      </c>
      <c r="C16" s="774">
        <f>IF(B19=0,"-",(B16/B19))</f>
        <v>0.632532474935576</v>
      </c>
      <c r="D16" s="44">
        <f>F19</f>
        <v>2623225.67</v>
      </c>
      <c r="E16" s="774">
        <f>IF(D19=0,"-",(D16/D19))</f>
        <v>0.5376519133866081</v>
      </c>
      <c r="F16" s="44">
        <v>1170635.26</v>
      </c>
      <c r="G16" s="775">
        <f>IF(F19=0,"-",(F16/F19))</f>
        <v>0.4462579309846415</v>
      </c>
    </row>
    <row r="17" spans="1:7" ht="15">
      <c r="A17" s="773" t="s">
        <v>41</v>
      </c>
      <c r="B17" s="65">
        <v>0</v>
      </c>
      <c r="C17" s="774">
        <f>IF(B19=0,"-",(B17/B19))</f>
        <v>0</v>
      </c>
      <c r="D17" s="65"/>
      <c r="E17" s="774">
        <f>IF(D19=0,"-",(D17/D19))</f>
        <v>0</v>
      </c>
      <c r="F17" s="65"/>
      <c r="G17" s="775">
        <f>IF(F19=0,"-",(F17/F19))</f>
        <v>0</v>
      </c>
    </row>
    <row r="18" spans="1:7" ht="15">
      <c r="A18" s="776" t="s">
        <v>91</v>
      </c>
      <c r="B18" s="66">
        <v>2834461.71</v>
      </c>
      <c r="C18" s="777">
        <f>IF(B19=0,"-",(B18/B19))</f>
        <v>0.367467525064424</v>
      </c>
      <c r="D18" s="66">
        <v>2255815.22</v>
      </c>
      <c r="E18" s="777">
        <f>IF(D19=0,"-",(D18/D19))</f>
        <v>0.4623480866133917</v>
      </c>
      <c r="F18" s="66">
        <v>1452590.41</v>
      </c>
      <c r="G18" s="778">
        <f>IF(F19=0,"-",(F18/F19))</f>
        <v>0.5537420690153585</v>
      </c>
    </row>
    <row r="19" spans="1:7" ht="15.75" thickBot="1">
      <c r="A19" s="779" t="s">
        <v>92</v>
      </c>
      <c r="B19" s="780">
        <f>SUM(B16:B18)</f>
        <v>7713502.600000001</v>
      </c>
      <c r="C19" s="781">
        <f>IF(B19=0,"-",(B19/B19))</f>
        <v>1</v>
      </c>
      <c r="D19" s="780">
        <f>SUM(D16:D18)</f>
        <v>4879040.890000001</v>
      </c>
      <c r="E19" s="781">
        <f>IF(D19=0,"-",(D19/D19))</f>
        <v>1</v>
      </c>
      <c r="F19" s="780">
        <f>SUM(F16:F18)</f>
        <v>2623225.67</v>
      </c>
      <c r="G19" s="782">
        <f>IF(F19=0,"-",(F19/F19))</f>
        <v>1</v>
      </c>
    </row>
    <row r="20" spans="1:7" ht="12.75">
      <c r="A20" s="787"/>
      <c r="B20" s="787"/>
      <c r="C20" s="787"/>
      <c r="D20" s="787"/>
      <c r="E20" s="787"/>
      <c r="F20" s="787"/>
      <c r="G20" s="787"/>
    </row>
    <row r="21" spans="1:7" ht="15.75" customHeight="1" thickBot="1">
      <c r="A21" s="765" t="s">
        <v>194</v>
      </c>
      <c r="B21" s="765"/>
      <c r="C21" s="765"/>
      <c r="D21" s="765"/>
      <c r="E21" s="765"/>
      <c r="F21" s="765"/>
      <c r="G21" s="765"/>
    </row>
    <row r="22" spans="1:7" s="13" customFormat="1" ht="25.5" customHeight="1">
      <c r="A22" s="783" t="s">
        <v>89</v>
      </c>
      <c r="B22" s="784">
        <v>2016</v>
      </c>
      <c r="C22" s="784" t="s">
        <v>13</v>
      </c>
      <c r="D22" s="784">
        <f>B22-1</f>
        <v>2015</v>
      </c>
      <c r="E22" s="784" t="s">
        <v>13</v>
      </c>
      <c r="F22" s="784">
        <f>D22-1</f>
        <v>2014</v>
      </c>
      <c r="G22" s="785" t="s">
        <v>13</v>
      </c>
    </row>
    <row r="23" spans="1:7" ht="15">
      <c r="A23" s="786" t="s">
        <v>90</v>
      </c>
      <c r="B23" s="44">
        <f>B9+B16</f>
        <v>18461705.62</v>
      </c>
      <c r="C23" s="774">
        <f>IF(B26=0,"-",(B23/B26))</f>
        <v>0.39265810386436667</v>
      </c>
      <c r="D23" s="44">
        <f>D9+D16</f>
        <v>17812785.61</v>
      </c>
      <c r="E23" s="774">
        <f>IF(D26=0,"-",(D23/D26))</f>
        <v>0.96485048438336</v>
      </c>
      <c r="F23" s="44">
        <f>F9+F16</f>
        <v>16142061.68</v>
      </c>
      <c r="G23" s="775">
        <f>IF(F26=0,"-",(F23/F26))</f>
        <v>0.9062064762592739</v>
      </c>
    </row>
    <row r="24" spans="1:7" ht="15">
      <c r="A24" s="773" t="s">
        <v>41</v>
      </c>
      <c r="B24" s="65">
        <f>B10+B17</f>
        <v>0</v>
      </c>
      <c r="C24" s="774">
        <f>IF(B26=0,"-",(B24/B26))</f>
        <v>0</v>
      </c>
      <c r="D24" s="65">
        <f>D10+D17</f>
        <v>0</v>
      </c>
      <c r="E24" s="774">
        <f>IF(D26=0,"-",(D24/D26))</f>
        <v>0</v>
      </c>
      <c r="F24" s="65">
        <f>F10+F17</f>
        <v>0</v>
      </c>
      <c r="G24" s="775">
        <f>IF(F26=0,"-",(F24/F26))</f>
        <v>0</v>
      </c>
    </row>
    <row r="25" spans="1:7" ht="15">
      <c r="A25" s="776" t="s">
        <v>91</v>
      </c>
      <c r="B25" s="66">
        <f>B11+B18</f>
        <v>28555547.91</v>
      </c>
      <c r="C25" s="777">
        <f>IF(B26=0,"-",(B25/B26))</f>
        <v>0.6073418961356333</v>
      </c>
      <c r="D25" s="66">
        <f>D11+D18</f>
        <v>648920.0100000002</v>
      </c>
      <c r="E25" s="777">
        <f>IF(D26=0,"-",(D25/D26))</f>
        <v>0.03514951561663999</v>
      </c>
      <c r="F25" s="66">
        <f>F11+F18</f>
        <v>1670723.93</v>
      </c>
      <c r="G25" s="778">
        <f>IF(F26=0,"-",(F25/F26))</f>
        <v>0.09379352374072614</v>
      </c>
    </row>
    <row r="26" spans="1:7" ht="15.75" thickBot="1">
      <c r="A26" s="779" t="s">
        <v>92</v>
      </c>
      <c r="B26" s="780">
        <f>SUM(B23:B25)</f>
        <v>47017253.53</v>
      </c>
      <c r="C26" s="781">
        <f>IF(B26=0,"-",(B26/B26))</f>
        <v>1</v>
      </c>
      <c r="D26" s="780">
        <f>SUM(D23:D25)</f>
        <v>18461705.62</v>
      </c>
      <c r="E26" s="781">
        <f>IF(D26=0,"-",(D26/D26))</f>
        <v>1</v>
      </c>
      <c r="F26" s="780">
        <f>SUM(F23:F25)</f>
        <v>17812785.61</v>
      </c>
      <c r="G26" s="782">
        <f>IF(F26=0,"-",(F26/F26))</f>
        <v>1</v>
      </c>
    </row>
    <row r="27" spans="1:7" ht="12.75">
      <c r="A27" s="766" t="s">
        <v>228</v>
      </c>
      <c r="B27" s="767"/>
      <c r="C27" s="767"/>
      <c r="D27" s="767"/>
      <c r="E27" s="767"/>
      <c r="F27" s="767"/>
      <c r="G27" s="767"/>
    </row>
  </sheetData>
  <sheetProtection/>
  <mergeCells count="12">
    <mergeCell ref="A1:G1"/>
    <mergeCell ref="A2:G2"/>
    <mergeCell ref="A13:G13"/>
    <mergeCell ref="A14:G14"/>
    <mergeCell ref="A7:B7"/>
    <mergeCell ref="A3:G3"/>
    <mergeCell ref="A4:G4"/>
    <mergeCell ref="A5:G5"/>
    <mergeCell ref="A27:G27"/>
    <mergeCell ref="A6:G6"/>
    <mergeCell ref="A21:G21"/>
    <mergeCell ref="A20:G20"/>
  </mergeCells>
  <printOptions/>
  <pageMargins left="0.787401575" right="0.787401575" top="0.984251969" bottom="0.984251969" header="0.492125985" footer="0.492125985"/>
  <pageSetup horizontalDpi="300" verticalDpi="300" orientation="portrait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5"/>
  <dimension ref="A1:D30"/>
  <sheetViews>
    <sheetView zoomScale="90" zoomScaleNormal="90" zoomScaleSheetLayoutView="90" zoomScalePageLayoutView="0" workbookViewId="0" topLeftCell="A19">
      <selection activeCell="A17" sqref="A17:D29"/>
    </sheetView>
  </sheetViews>
  <sheetFormatPr defaultColWidth="9.140625" defaultRowHeight="12.75"/>
  <cols>
    <col min="1" max="1" width="58.421875" style="14" customWidth="1"/>
    <col min="2" max="3" width="14.7109375" style="14" customWidth="1"/>
    <col min="4" max="4" width="15.7109375" style="14" customWidth="1"/>
    <col min="5" max="16384" width="9.140625" style="14" customWidth="1"/>
  </cols>
  <sheetData>
    <row r="1" spans="1:4" ht="15">
      <c r="A1" s="417" t="s">
        <v>570</v>
      </c>
      <c r="B1" s="418"/>
      <c r="C1" s="418"/>
      <c r="D1" s="419"/>
    </row>
    <row r="2" spans="1:4" ht="14.25">
      <c r="A2" s="414" t="s">
        <v>36</v>
      </c>
      <c r="B2" s="415"/>
      <c r="C2" s="415"/>
      <c r="D2" s="416"/>
    </row>
    <row r="3" spans="1:4" ht="14.25">
      <c r="A3" s="414" t="str">
        <f>'Metas Cons'!A3:M3</f>
        <v>ANEXO DE METAS FISCAIS</v>
      </c>
      <c r="B3" s="415"/>
      <c r="C3" s="415"/>
      <c r="D3" s="416"/>
    </row>
    <row r="4" spans="1:4" ht="15">
      <c r="A4" s="420" t="s">
        <v>574</v>
      </c>
      <c r="B4" s="418"/>
      <c r="C4" s="418"/>
      <c r="D4" s="419"/>
    </row>
    <row r="5" spans="1:4" ht="14.25">
      <c r="A5" s="414" t="s">
        <v>444</v>
      </c>
      <c r="B5" s="415"/>
      <c r="C5" s="415"/>
      <c r="D5" s="416"/>
    </row>
    <row r="6" spans="1:4" ht="14.25">
      <c r="A6" s="414"/>
      <c r="B6" s="415"/>
      <c r="C6" s="415"/>
      <c r="D6" s="416"/>
    </row>
    <row r="7" spans="1:4" ht="14.25">
      <c r="A7" s="189" t="s">
        <v>545</v>
      </c>
      <c r="B7" s="58"/>
      <c r="C7" s="58"/>
      <c r="D7" s="59">
        <v>1</v>
      </c>
    </row>
    <row r="8" spans="1:4" s="15" customFormat="1" ht="25.5" customHeight="1">
      <c r="A8" s="788" t="s">
        <v>94</v>
      </c>
      <c r="B8" s="788">
        <v>2016</v>
      </c>
      <c r="C8" s="788">
        <f>B8-1</f>
        <v>2015</v>
      </c>
      <c r="D8" s="789">
        <f>C8-1</f>
        <v>2014</v>
      </c>
    </row>
    <row r="9" spans="1:4" s="15" customFormat="1" ht="25.5" customHeight="1">
      <c r="A9" s="790" t="s">
        <v>447</v>
      </c>
      <c r="B9" s="804"/>
      <c r="C9" s="804">
        <v>0</v>
      </c>
      <c r="D9" s="178"/>
    </row>
    <row r="10" spans="1:4" ht="12.75" customHeight="1">
      <c r="A10" s="791" t="s">
        <v>42</v>
      </c>
      <c r="B10" s="792">
        <f>B11</f>
        <v>79250</v>
      </c>
      <c r="C10" s="792">
        <f>C11</f>
        <v>40000</v>
      </c>
      <c r="D10" s="792">
        <f>D11</f>
        <v>52200</v>
      </c>
    </row>
    <row r="11" spans="1:4" ht="12.75" customHeight="1">
      <c r="A11" s="791" t="s">
        <v>95</v>
      </c>
      <c r="B11" s="792">
        <f>B12+B13</f>
        <v>79250</v>
      </c>
      <c r="C11" s="792">
        <f>C12+C13</f>
        <v>40000</v>
      </c>
      <c r="D11" s="792">
        <f>D12+D13</f>
        <v>52200</v>
      </c>
    </row>
    <row r="12" spans="1:4" ht="12.75" customHeight="1">
      <c r="A12" s="791" t="s">
        <v>96</v>
      </c>
      <c r="B12" s="48">
        <f>Projeções!E76</f>
        <v>79250</v>
      </c>
      <c r="C12" s="48">
        <f>Projeções!D76</f>
        <v>40000</v>
      </c>
      <c r="D12" s="48">
        <f>Projeções!C76</f>
        <v>52200</v>
      </c>
    </row>
    <row r="13" spans="1:4" ht="12.75" customHeight="1">
      <c r="A13" s="793" t="s">
        <v>97</v>
      </c>
      <c r="B13" s="48">
        <f>Projeções!E77</f>
        <v>0</v>
      </c>
      <c r="C13" s="48">
        <f>Projeções!D77</f>
        <v>0</v>
      </c>
      <c r="D13" s="48">
        <f>Projeções!C77</f>
        <v>0</v>
      </c>
    </row>
    <row r="14" spans="1:4" ht="12.75" customHeight="1">
      <c r="A14" s="793" t="s">
        <v>147</v>
      </c>
      <c r="B14" s="49"/>
      <c r="C14" s="49"/>
      <c r="D14" s="49"/>
    </row>
    <row r="15" spans="1:4" ht="14.25">
      <c r="A15" s="793" t="s">
        <v>98</v>
      </c>
      <c r="B15" s="794">
        <f>B12+B13+B14</f>
        <v>79250</v>
      </c>
      <c r="C15" s="794">
        <f>C12+C13+C14</f>
        <v>40000</v>
      </c>
      <c r="D15" s="794">
        <f>D9+D12+D13+D14</f>
        <v>52200</v>
      </c>
    </row>
    <row r="16" spans="1:4" ht="14.25">
      <c r="A16" s="421"/>
      <c r="B16" s="421"/>
      <c r="C16" s="421"/>
      <c r="D16" s="421"/>
    </row>
    <row r="17" spans="1:4" s="15" customFormat="1" ht="14.25">
      <c r="A17" s="635" t="s">
        <v>175</v>
      </c>
      <c r="B17" s="795">
        <v>2016</v>
      </c>
      <c r="C17" s="795">
        <f>B17-1</f>
        <v>2015</v>
      </c>
      <c r="D17" s="796">
        <f>C17-1</f>
        <v>2014</v>
      </c>
    </row>
    <row r="18" spans="1:4" s="15" customFormat="1" ht="14.25">
      <c r="A18" s="643"/>
      <c r="B18" s="797"/>
      <c r="C18" s="797"/>
      <c r="D18" s="798"/>
    </row>
    <row r="19" spans="1:4" ht="28.5">
      <c r="A19" s="791" t="s">
        <v>99</v>
      </c>
      <c r="B19" s="799"/>
      <c r="C19" s="799"/>
      <c r="D19" s="800"/>
    </row>
    <row r="20" spans="1:4" ht="14.25">
      <c r="A20" s="791" t="s">
        <v>100</v>
      </c>
      <c r="B20" s="792">
        <f>B21+B22+B23</f>
        <v>1938536.33</v>
      </c>
      <c r="C20" s="792">
        <f>C21+C22+C23</f>
        <v>2831072.9</v>
      </c>
      <c r="D20" s="195">
        <f>D21+D22+D23</f>
        <v>2129214.84</v>
      </c>
    </row>
    <row r="21" spans="1:4" ht="14.25">
      <c r="A21" s="791" t="s">
        <v>101</v>
      </c>
      <c r="B21" s="48">
        <v>1174462.24</v>
      </c>
      <c r="C21" s="48">
        <v>1970367.16</v>
      </c>
      <c r="D21" s="176">
        <v>1591547.71</v>
      </c>
    </row>
    <row r="22" spans="1:4" ht="14.25">
      <c r="A22" s="791" t="s">
        <v>102</v>
      </c>
      <c r="B22" s="48"/>
      <c r="C22" s="48"/>
      <c r="D22" s="176"/>
    </row>
    <row r="23" spans="1:4" ht="14.25">
      <c r="A23" s="791" t="s">
        <v>103</v>
      </c>
      <c r="B23" s="48">
        <v>764074.09</v>
      </c>
      <c r="C23" s="48">
        <v>860705.74</v>
      </c>
      <c r="D23" s="176">
        <v>537667.13</v>
      </c>
    </row>
    <row r="24" spans="1:4" ht="14.25">
      <c r="A24" s="791" t="s">
        <v>104</v>
      </c>
      <c r="B24" s="792">
        <f>B25+B26</f>
        <v>0</v>
      </c>
      <c r="C24" s="792">
        <f>C25+C26</f>
        <v>0</v>
      </c>
      <c r="D24" s="195">
        <f>D25+D26</f>
        <v>0</v>
      </c>
    </row>
    <row r="25" spans="1:4" ht="14.25">
      <c r="A25" s="791" t="s">
        <v>105</v>
      </c>
      <c r="B25" s="48"/>
      <c r="C25" s="48"/>
      <c r="D25" s="176"/>
    </row>
    <row r="26" spans="1:4" ht="14.25">
      <c r="A26" s="793" t="s">
        <v>106</v>
      </c>
      <c r="B26" s="49"/>
      <c r="C26" s="49"/>
      <c r="D26" s="177"/>
    </row>
    <row r="27" spans="1:4" ht="14.25">
      <c r="A27" s="793" t="s">
        <v>98</v>
      </c>
      <c r="B27" s="794">
        <f>B20+B24</f>
        <v>1938536.33</v>
      </c>
      <c r="C27" s="794">
        <f>C20+C24</f>
        <v>2831072.9</v>
      </c>
      <c r="D27" s="801">
        <f>D20+D24</f>
        <v>2129214.84</v>
      </c>
    </row>
    <row r="28" spans="1:4" ht="14.25">
      <c r="A28" s="802" t="s">
        <v>107</v>
      </c>
      <c r="B28" s="49"/>
      <c r="C28" s="49"/>
      <c r="D28" s="177"/>
    </row>
    <row r="29" spans="1:4" ht="14.25">
      <c r="A29" s="803"/>
      <c r="B29" s="794">
        <f>C29+B15-B27</f>
        <v>-6727374.07</v>
      </c>
      <c r="C29" s="794">
        <f>D29+C15-C27</f>
        <v>-4868087.74</v>
      </c>
      <c r="D29" s="194">
        <f>D15-D27</f>
        <v>-2077014.8399999999</v>
      </c>
    </row>
    <row r="30" spans="1:4" ht="14.25">
      <c r="A30" s="422" t="s">
        <v>228</v>
      </c>
      <c r="B30" s="422"/>
      <c r="C30" s="422"/>
      <c r="D30" s="422"/>
    </row>
  </sheetData>
  <sheetProtection/>
  <mergeCells count="13">
    <mergeCell ref="A16:D16"/>
    <mergeCell ref="A28:A29"/>
    <mergeCell ref="A30:D30"/>
    <mergeCell ref="A17:A18"/>
    <mergeCell ref="B17:B18"/>
    <mergeCell ref="C17:C18"/>
    <mergeCell ref="D17:D18"/>
    <mergeCell ref="A5:D5"/>
    <mergeCell ref="A6:D6"/>
    <mergeCell ref="A1:D1"/>
    <mergeCell ref="A2:D2"/>
    <mergeCell ref="A3:D3"/>
    <mergeCell ref="A4:D4"/>
  </mergeCells>
  <printOptions/>
  <pageMargins left="0.787401575" right="0.787401575" top="0.984251969" bottom="0.984251969" header="0.492125985" footer="0.492125985"/>
  <pageSetup horizontalDpi="300" verticalDpi="300" orientation="portrait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9"/>
  <sheetViews>
    <sheetView zoomScalePageLayoutView="0" workbookViewId="0" topLeftCell="A136">
      <selection activeCell="A145" sqref="A145:I153"/>
    </sheetView>
  </sheetViews>
  <sheetFormatPr defaultColWidth="9.140625" defaultRowHeight="11.25" customHeight="1"/>
  <cols>
    <col min="1" max="1" width="59.28125" style="214" customWidth="1"/>
    <col min="2" max="2" width="13.8515625" style="214" customWidth="1"/>
    <col min="3" max="3" width="7.140625" style="214" customWidth="1"/>
    <col min="4" max="4" width="18.57421875" style="214" hidden="1" customWidth="1"/>
    <col min="5" max="5" width="12.8515625" style="214" hidden="1" customWidth="1"/>
    <col min="6" max="6" width="12.8515625" style="214" customWidth="1"/>
    <col min="7" max="7" width="7.140625" style="214" customWidth="1"/>
    <col min="8" max="8" width="12.8515625" style="214" customWidth="1"/>
    <col min="9" max="9" width="6.28125" style="214" customWidth="1"/>
    <col min="10" max="16384" width="9.140625" style="214" customWidth="1"/>
  </cols>
  <sheetData>
    <row r="1" spans="1:7" ht="11.25" customHeight="1">
      <c r="A1" s="477" t="str">
        <f>Parâmetros!A7</f>
        <v>Município de Balneário Pinhal</v>
      </c>
      <c r="B1" s="478"/>
      <c r="C1" s="478"/>
      <c r="D1" s="478"/>
      <c r="E1" s="478"/>
      <c r="F1" s="478"/>
      <c r="G1" s="478"/>
    </row>
    <row r="2" spans="1:7" s="215" customFormat="1" ht="11.25" customHeight="1">
      <c r="A2" s="479" t="s">
        <v>36</v>
      </c>
      <c r="B2" s="479"/>
      <c r="C2" s="479"/>
      <c r="D2" s="479"/>
      <c r="E2" s="479"/>
      <c r="F2" s="479"/>
      <c r="G2" s="479"/>
    </row>
    <row r="3" spans="1:7" ht="11.25" customHeight="1">
      <c r="A3" s="478" t="s">
        <v>164</v>
      </c>
      <c r="B3" s="478"/>
      <c r="C3" s="478"/>
      <c r="D3" s="478"/>
      <c r="E3" s="478"/>
      <c r="F3" s="478"/>
      <c r="G3" s="478"/>
    </row>
    <row r="4" spans="1:7" ht="11.25" customHeight="1">
      <c r="A4" s="480" t="s">
        <v>515</v>
      </c>
      <c r="B4" s="480"/>
      <c r="C4" s="480"/>
      <c r="D4" s="480"/>
      <c r="E4" s="480"/>
      <c r="F4" s="480"/>
      <c r="G4" s="480"/>
    </row>
    <row r="5" spans="1:7" s="215" customFormat="1" ht="11.25" customHeight="1">
      <c r="A5" s="479" t="s">
        <v>232</v>
      </c>
      <c r="B5" s="479"/>
      <c r="C5" s="479"/>
      <c r="D5" s="479"/>
      <c r="E5" s="479"/>
      <c r="F5" s="479"/>
      <c r="G5" s="479"/>
    </row>
    <row r="6" spans="1:7" s="215" customFormat="1" ht="11.25" customHeight="1">
      <c r="A6" s="481"/>
      <c r="B6" s="481"/>
      <c r="C6" s="481"/>
      <c r="D6" s="481"/>
      <c r="E6" s="481"/>
      <c r="F6" s="481"/>
      <c r="G6" s="482"/>
    </row>
    <row r="7" spans="1:9" s="216" customFormat="1" ht="11.25" customHeight="1" thickBot="1">
      <c r="A7" s="483" t="s">
        <v>448</v>
      </c>
      <c r="B7" s="483"/>
      <c r="C7" s="483"/>
      <c r="D7" s="483"/>
      <c r="E7" s="483"/>
      <c r="F7" s="483"/>
      <c r="G7" s="483"/>
      <c r="H7" s="471">
        <v>1</v>
      </c>
      <c r="I7" s="471"/>
    </row>
    <row r="8" spans="1:9" s="216" customFormat="1" ht="11.25" customHeight="1" thickBot="1">
      <c r="A8" s="472" t="s">
        <v>449</v>
      </c>
      <c r="B8" s="472"/>
      <c r="C8" s="472"/>
      <c r="D8" s="472"/>
      <c r="E8" s="472"/>
      <c r="F8" s="472"/>
      <c r="G8" s="472"/>
      <c r="H8" s="472"/>
      <c r="I8" s="472"/>
    </row>
    <row r="9" spans="1:9" s="215" customFormat="1" ht="11.25" customHeight="1">
      <c r="A9" s="464" t="s">
        <v>450</v>
      </c>
      <c r="B9" s="465"/>
      <c r="C9" s="465"/>
      <c r="D9" s="465"/>
      <c r="E9" s="465"/>
      <c r="F9" s="465"/>
      <c r="G9" s="465"/>
      <c r="H9" s="465"/>
      <c r="I9" s="465"/>
    </row>
    <row r="10" spans="1:9" s="215" customFormat="1" ht="11.25" customHeight="1">
      <c r="A10" s="217" t="s">
        <v>451</v>
      </c>
      <c r="B10" s="461">
        <f>F10+1</f>
        <v>2016</v>
      </c>
      <c r="C10" s="462"/>
      <c r="D10" s="462"/>
      <c r="E10" s="463"/>
      <c r="F10" s="439">
        <f>H10+1</f>
        <v>2015</v>
      </c>
      <c r="G10" s="441"/>
      <c r="H10" s="439">
        <v>2014</v>
      </c>
      <c r="I10" s="440"/>
    </row>
    <row r="11" spans="1:9" s="215" customFormat="1" ht="11.25" customHeight="1">
      <c r="A11" s="218" t="s">
        <v>452</v>
      </c>
      <c r="B11" s="444">
        <f>SUM(B12:C39)</f>
        <v>0</v>
      </c>
      <c r="C11" s="444"/>
      <c r="D11" s="219"/>
      <c r="E11" s="220"/>
      <c r="F11" s="444">
        <f>SUM(F12:G39)</f>
        <v>0</v>
      </c>
      <c r="G11" s="444"/>
      <c r="H11" s="444">
        <f>SUM(H12:I39)</f>
        <v>1679597.8599999999</v>
      </c>
      <c r="I11" s="444"/>
    </row>
    <row r="12" spans="1:9" s="215" customFormat="1" ht="11.25" customHeight="1">
      <c r="A12" s="221" t="s">
        <v>453</v>
      </c>
      <c r="B12" s="445"/>
      <c r="C12" s="445"/>
      <c r="D12" s="222"/>
      <c r="E12" s="222"/>
      <c r="F12" s="445"/>
      <c r="G12" s="445"/>
      <c r="H12" s="445">
        <v>799656.14</v>
      </c>
      <c r="I12" s="445"/>
    </row>
    <row r="13" spans="1:9" s="215" customFormat="1" ht="11.25" customHeight="1">
      <c r="A13" s="223" t="s">
        <v>454</v>
      </c>
      <c r="B13" s="445"/>
      <c r="C13" s="445"/>
      <c r="D13" s="222"/>
      <c r="E13" s="222"/>
      <c r="F13" s="445"/>
      <c r="G13" s="445"/>
      <c r="H13" s="445"/>
      <c r="I13" s="445"/>
    </row>
    <row r="14" spans="1:9" s="215" customFormat="1" ht="11.25" customHeight="1">
      <c r="A14" s="224" t="s">
        <v>455</v>
      </c>
      <c r="B14" s="445"/>
      <c r="C14" s="445"/>
      <c r="D14" s="222"/>
      <c r="E14" s="222"/>
      <c r="F14" s="445"/>
      <c r="G14" s="445"/>
      <c r="H14" s="445"/>
      <c r="I14" s="445"/>
    </row>
    <row r="15" spans="1:13" s="215" customFormat="1" ht="11.25" customHeight="1">
      <c r="A15" s="224" t="s">
        <v>456</v>
      </c>
      <c r="B15" s="445"/>
      <c r="C15" s="445"/>
      <c r="D15" s="222"/>
      <c r="E15" s="222"/>
      <c r="F15" s="445"/>
      <c r="G15" s="445"/>
      <c r="H15" s="445"/>
      <c r="I15" s="445"/>
      <c r="M15" s="215" t="s">
        <v>560</v>
      </c>
    </row>
    <row r="16" spans="1:9" s="215" customFormat="1" ht="11.25" customHeight="1">
      <c r="A16" s="224" t="s">
        <v>457</v>
      </c>
      <c r="B16" s="445"/>
      <c r="C16" s="445"/>
      <c r="D16" s="222"/>
      <c r="E16" s="222"/>
      <c r="F16" s="445"/>
      <c r="G16" s="445"/>
      <c r="H16" s="445"/>
      <c r="I16" s="445"/>
    </row>
    <row r="17" spans="1:9" s="215" customFormat="1" ht="11.25" customHeight="1">
      <c r="A17" s="223" t="s">
        <v>458</v>
      </c>
      <c r="B17" s="445"/>
      <c r="C17" s="445"/>
      <c r="D17" s="222"/>
      <c r="E17" s="222"/>
      <c r="F17" s="445"/>
      <c r="G17" s="445"/>
      <c r="H17" s="445"/>
      <c r="I17" s="445"/>
    </row>
    <row r="18" spans="1:9" s="215" customFormat="1" ht="11.25" customHeight="1">
      <c r="A18" s="224" t="s">
        <v>455</v>
      </c>
      <c r="B18" s="445"/>
      <c r="C18" s="445"/>
      <c r="D18" s="222"/>
      <c r="E18" s="222"/>
      <c r="F18" s="445"/>
      <c r="G18" s="445"/>
      <c r="H18" s="445"/>
      <c r="I18" s="445"/>
    </row>
    <row r="19" spans="1:9" s="215" customFormat="1" ht="11.25" customHeight="1">
      <c r="A19" s="224" t="s">
        <v>456</v>
      </c>
      <c r="B19" s="445"/>
      <c r="C19" s="445"/>
      <c r="D19" s="222"/>
      <c r="E19" s="222"/>
      <c r="F19" s="445"/>
      <c r="G19" s="445"/>
      <c r="H19" s="445"/>
      <c r="I19" s="445"/>
    </row>
    <row r="20" spans="1:9" s="215" customFormat="1" ht="11.25" customHeight="1">
      <c r="A20" s="224" t="s">
        <v>457</v>
      </c>
      <c r="B20" s="445"/>
      <c r="C20" s="445"/>
      <c r="D20" s="222"/>
      <c r="E20" s="222"/>
      <c r="F20" s="445"/>
      <c r="G20" s="445"/>
      <c r="H20" s="445"/>
      <c r="I20" s="445"/>
    </row>
    <row r="21" spans="1:9" s="215" customFormat="1" ht="11.25" customHeight="1">
      <c r="A21" s="225" t="s">
        <v>459</v>
      </c>
      <c r="B21" s="445"/>
      <c r="C21" s="445"/>
      <c r="D21" s="222"/>
      <c r="E21" s="222"/>
      <c r="F21" s="445"/>
      <c r="G21" s="445"/>
      <c r="H21" s="445"/>
      <c r="I21" s="445"/>
    </row>
    <row r="22" spans="1:9" s="215" customFormat="1" ht="11.25" customHeight="1">
      <c r="A22" s="223" t="s">
        <v>454</v>
      </c>
      <c r="B22" s="445"/>
      <c r="C22" s="445"/>
      <c r="D22" s="222"/>
      <c r="E22" s="222"/>
      <c r="F22" s="445"/>
      <c r="G22" s="445"/>
      <c r="H22" s="445"/>
      <c r="I22" s="445"/>
    </row>
    <row r="23" spans="1:9" s="215" customFormat="1" ht="11.25" customHeight="1">
      <c r="A23" s="224" t="s">
        <v>455</v>
      </c>
      <c r="B23" s="445"/>
      <c r="C23" s="445"/>
      <c r="D23" s="222"/>
      <c r="E23" s="222"/>
      <c r="F23" s="445"/>
      <c r="G23" s="445"/>
      <c r="H23" s="445"/>
      <c r="I23" s="445"/>
    </row>
    <row r="24" spans="1:9" s="215" customFormat="1" ht="11.25" customHeight="1">
      <c r="A24" s="224" t="s">
        <v>456</v>
      </c>
      <c r="B24" s="445"/>
      <c r="C24" s="445"/>
      <c r="D24" s="222"/>
      <c r="E24" s="222"/>
      <c r="F24" s="445"/>
      <c r="G24" s="445"/>
      <c r="H24" s="445"/>
      <c r="I24" s="445"/>
    </row>
    <row r="25" spans="1:9" s="215" customFormat="1" ht="11.25" customHeight="1">
      <c r="A25" s="224" t="s">
        <v>457</v>
      </c>
      <c r="B25" s="445"/>
      <c r="C25" s="445"/>
      <c r="D25" s="222"/>
      <c r="E25" s="222"/>
      <c r="F25" s="445"/>
      <c r="G25" s="445"/>
      <c r="H25" s="445"/>
      <c r="I25" s="445"/>
    </row>
    <row r="26" spans="1:9" s="215" customFormat="1" ht="11.25" customHeight="1">
      <c r="A26" s="223" t="s">
        <v>458</v>
      </c>
      <c r="B26" s="445"/>
      <c r="C26" s="445"/>
      <c r="D26" s="222"/>
      <c r="E26" s="222"/>
      <c r="F26" s="445"/>
      <c r="G26" s="445"/>
      <c r="H26" s="445"/>
      <c r="I26" s="445"/>
    </row>
    <row r="27" spans="1:9" s="215" customFormat="1" ht="11.25" customHeight="1">
      <c r="A27" s="224" t="s">
        <v>455</v>
      </c>
      <c r="B27" s="445"/>
      <c r="C27" s="445"/>
      <c r="D27" s="222"/>
      <c r="E27" s="222"/>
      <c r="F27" s="445"/>
      <c r="G27" s="445"/>
      <c r="H27" s="445"/>
      <c r="I27" s="445"/>
    </row>
    <row r="28" spans="1:9" s="215" customFormat="1" ht="11.25" customHeight="1">
      <c r="A28" s="224" t="s">
        <v>456</v>
      </c>
      <c r="B28" s="445"/>
      <c r="C28" s="445"/>
      <c r="D28" s="222"/>
      <c r="E28" s="222"/>
      <c r="F28" s="445"/>
      <c r="G28" s="445"/>
      <c r="H28" s="445"/>
      <c r="I28" s="445"/>
    </row>
    <row r="29" spans="1:9" s="215" customFormat="1" ht="11.25" customHeight="1">
      <c r="A29" s="224" t="s">
        <v>457</v>
      </c>
      <c r="B29" s="445"/>
      <c r="C29" s="445"/>
      <c r="D29" s="222"/>
      <c r="E29" s="222"/>
      <c r="F29" s="445"/>
      <c r="G29" s="445"/>
      <c r="H29" s="445"/>
      <c r="I29" s="445"/>
    </row>
    <row r="30" spans="1:9" s="215" customFormat="1" ht="11.25" customHeight="1">
      <c r="A30" s="223" t="s">
        <v>460</v>
      </c>
      <c r="B30" s="445"/>
      <c r="C30" s="445"/>
      <c r="D30" s="222"/>
      <c r="E30" s="222"/>
      <c r="F30" s="445"/>
      <c r="G30" s="445"/>
      <c r="H30" s="445"/>
      <c r="I30" s="445"/>
    </row>
    <row r="31" spans="1:9" s="215" customFormat="1" ht="11.25" customHeight="1">
      <c r="A31" s="221" t="s">
        <v>262</v>
      </c>
      <c r="B31" s="445"/>
      <c r="C31" s="445"/>
      <c r="D31" s="222"/>
      <c r="E31" s="222"/>
      <c r="F31" s="445"/>
      <c r="G31" s="445"/>
      <c r="H31" s="445">
        <v>879941.72</v>
      </c>
      <c r="I31" s="445"/>
    </row>
    <row r="32" spans="1:9" s="215" customFormat="1" ht="11.25" customHeight="1">
      <c r="A32" s="223" t="s">
        <v>461</v>
      </c>
      <c r="B32" s="445"/>
      <c r="C32" s="445"/>
      <c r="D32" s="222"/>
      <c r="E32" s="222"/>
      <c r="F32" s="445"/>
      <c r="G32" s="445"/>
      <c r="H32" s="445"/>
      <c r="I32" s="445"/>
    </row>
    <row r="33" spans="1:9" s="215" customFormat="1" ht="11.25" customHeight="1">
      <c r="A33" s="223" t="s">
        <v>462</v>
      </c>
      <c r="B33" s="445"/>
      <c r="C33" s="445"/>
      <c r="D33" s="222"/>
      <c r="E33" s="222"/>
      <c r="F33" s="445"/>
      <c r="G33" s="445"/>
      <c r="H33" s="445"/>
      <c r="I33" s="445"/>
    </row>
    <row r="34" spans="1:9" s="215" customFormat="1" ht="11.25" customHeight="1">
      <c r="A34" s="223" t="s">
        <v>463</v>
      </c>
      <c r="B34" s="445"/>
      <c r="C34" s="445"/>
      <c r="D34" s="222"/>
      <c r="E34" s="222"/>
      <c r="F34" s="445"/>
      <c r="G34" s="445"/>
      <c r="H34" s="445"/>
      <c r="I34" s="445"/>
    </row>
    <row r="35" spans="1:9" s="215" customFormat="1" ht="11.25" customHeight="1">
      <c r="A35" s="221" t="s">
        <v>286</v>
      </c>
      <c r="B35" s="445"/>
      <c r="C35" s="445"/>
      <c r="D35" s="222"/>
      <c r="E35" s="222"/>
      <c r="F35" s="445"/>
      <c r="G35" s="445"/>
      <c r="H35" s="445"/>
      <c r="I35" s="445"/>
    </row>
    <row r="36" spans="1:9" s="215" customFormat="1" ht="11.25" customHeight="1">
      <c r="A36" s="221" t="s">
        <v>464</v>
      </c>
      <c r="B36" s="445"/>
      <c r="C36" s="445"/>
      <c r="D36" s="222"/>
      <c r="E36" s="222"/>
      <c r="F36" s="445"/>
      <c r="G36" s="445"/>
      <c r="H36" s="445"/>
      <c r="I36" s="445"/>
    </row>
    <row r="37" spans="1:9" s="215" customFormat="1" ht="11.25" customHeight="1">
      <c r="A37" s="221" t="s">
        <v>342</v>
      </c>
      <c r="B37" s="445"/>
      <c r="C37" s="445"/>
      <c r="D37" s="222"/>
      <c r="E37" s="222"/>
      <c r="F37" s="445"/>
      <c r="G37" s="445"/>
      <c r="H37" s="445"/>
      <c r="I37" s="445"/>
    </row>
    <row r="38" spans="1:9" s="215" customFormat="1" ht="11.25" customHeight="1">
      <c r="A38" s="223" t="s">
        <v>465</v>
      </c>
      <c r="B38" s="445"/>
      <c r="C38" s="445"/>
      <c r="D38" s="222"/>
      <c r="E38" s="222"/>
      <c r="F38" s="445"/>
      <c r="G38" s="445"/>
      <c r="H38" s="445"/>
      <c r="I38" s="445"/>
    </row>
    <row r="39" spans="1:9" s="215" customFormat="1" ht="11.25" customHeight="1">
      <c r="A39" s="223" t="s">
        <v>348</v>
      </c>
      <c r="B39" s="445"/>
      <c r="C39" s="445"/>
      <c r="D39" s="222"/>
      <c r="E39" s="222"/>
      <c r="F39" s="445"/>
      <c r="G39" s="445"/>
      <c r="H39" s="445"/>
      <c r="I39" s="445"/>
    </row>
    <row r="40" spans="1:9" s="228" customFormat="1" ht="11.25" customHeight="1">
      <c r="A40" s="226" t="s">
        <v>466</v>
      </c>
      <c r="B40" s="444">
        <f>SUM(B41:C43)</f>
        <v>0</v>
      </c>
      <c r="C40" s="444"/>
      <c r="D40" s="227"/>
      <c r="E40" s="227"/>
      <c r="F40" s="444">
        <f>SUM(F41:G43)</f>
        <v>0</v>
      </c>
      <c r="G40" s="444"/>
      <c r="H40" s="444">
        <f>SUM(H41:I43)</f>
        <v>0</v>
      </c>
      <c r="I40" s="444"/>
    </row>
    <row r="41" spans="1:9" s="216" customFormat="1" ht="11.25" customHeight="1">
      <c r="A41" s="221" t="s">
        <v>467</v>
      </c>
      <c r="B41" s="445"/>
      <c r="C41" s="445"/>
      <c r="D41" s="222"/>
      <c r="E41" s="222"/>
      <c r="F41" s="445"/>
      <c r="G41" s="445"/>
      <c r="H41" s="445"/>
      <c r="I41" s="445"/>
    </row>
    <row r="42" spans="1:9" s="215" customFormat="1" ht="11.25" customHeight="1">
      <c r="A42" s="221" t="s">
        <v>368</v>
      </c>
      <c r="B42" s="445"/>
      <c r="C42" s="445"/>
      <c r="D42" s="222"/>
      <c r="E42" s="222"/>
      <c r="F42" s="445"/>
      <c r="G42" s="445"/>
      <c r="H42" s="445"/>
      <c r="I42" s="445"/>
    </row>
    <row r="43" spans="1:9" s="215" customFormat="1" ht="11.25" customHeight="1">
      <c r="A43" s="221" t="s">
        <v>379</v>
      </c>
      <c r="B43" s="445"/>
      <c r="C43" s="445"/>
      <c r="D43" s="222"/>
      <c r="E43" s="222"/>
      <c r="F43" s="445"/>
      <c r="G43" s="445"/>
      <c r="H43" s="445"/>
      <c r="I43" s="445"/>
    </row>
    <row r="44" spans="1:9" s="215" customFormat="1" ht="11.25" customHeight="1">
      <c r="A44" s="229" t="s">
        <v>468</v>
      </c>
      <c r="B44" s="423">
        <f>SUM(B40+B11)</f>
        <v>0</v>
      </c>
      <c r="C44" s="476"/>
      <c r="D44" s="230"/>
      <c r="E44" s="231"/>
      <c r="F44" s="448">
        <f>SUM(F40+F11)</f>
        <v>0</v>
      </c>
      <c r="G44" s="449"/>
      <c r="H44" s="448">
        <f>SUM(H40+H11)</f>
        <v>1679597.8599999999</v>
      </c>
      <c r="I44" s="449"/>
    </row>
    <row r="45" spans="2:6" s="215" customFormat="1" ht="11.25" customHeight="1">
      <c r="B45" s="232"/>
      <c r="C45" s="232"/>
      <c r="D45" s="232"/>
      <c r="E45" s="232"/>
      <c r="F45" s="233"/>
    </row>
    <row r="46" spans="1:9" s="215" customFormat="1" ht="11.25" customHeight="1">
      <c r="A46" s="234" t="s">
        <v>469</v>
      </c>
      <c r="B46" s="439">
        <f>B10</f>
        <v>2016</v>
      </c>
      <c r="C46" s="440"/>
      <c r="D46" s="440"/>
      <c r="E46" s="441"/>
      <c r="F46" s="439">
        <f>F10</f>
        <v>2015</v>
      </c>
      <c r="G46" s="441"/>
      <c r="H46" s="439">
        <f>H10</f>
        <v>2014</v>
      </c>
      <c r="I46" s="440"/>
    </row>
    <row r="47" spans="1:9" s="238" customFormat="1" ht="11.25" customHeight="1">
      <c r="A47" s="235" t="s">
        <v>470</v>
      </c>
      <c r="B47" s="444">
        <f>SUM(B48+B49)</f>
        <v>0</v>
      </c>
      <c r="C47" s="444"/>
      <c r="D47" s="236"/>
      <c r="E47" s="237"/>
      <c r="F47" s="446">
        <f>SUM(F48+F49)</f>
        <v>0</v>
      </c>
      <c r="G47" s="447"/>
      <c r="H47" s="446">
        <f>SUM(H48+H49)</f>
        <v>22460.5</v>
      </c>
      <c r="I47" s="447"/>
    </row>
    <row r="48" spans="1:9" s="215" customFormat="1" ht="11.25" customHeight="1">
      <c r="A48" s="239" t="s">
        <v>471</v>
      </c>
      <c r="B48" s="445"/>
      <c r="C48" s="445"/>
      <c r="D48" s="240"/>
      <c r="E48" s="241"/>
      <c r="F48" s="445"/>
      <c r="G48" s="445"/>
      <c r="H48" s="442">
        <v>22460.5</v>
      </c>
      <c r="I48" s="443"/>
    </row>
    <row r="49" spans="1:9" s="215" customFormat="1" ht="11.25" customHeight="1">
      <c r="A49" s="239" t="s">
        <v>472</v>
      </c>
      <c r="B49" s="445"/>
      <c r="C49" s="445"/>
      <c r="D49" s="240"/>
      <c r="E49" s="241"/>
      <c r="F49" s="445"/>
      <c r="G49" s="445"/>
      <c r="H49" s="442"/>
      <c r="I49" s="443"/>
    </row>
    <row r="50" spans="1:9" s="238" customFormat="1" ht="11.25" customHeight="1">
      <c r="A50" s="242" t="s">
        <v>473</v>
      </c>
      <c r="B50" s="444">
        <f>SUM(B51:C61)</f>
        <v>0</v>
      </c>
      <c r="C50" s="444"/>
      <c r="D50" s="243"/>
      <c r="E50" s="244"/>
      <c r="F50" s="444">
        <f>SUM(F51:G61)</f>
        <v>0</v>
      </c>
      <c r="G50" s="444"/>
      <c r="H50" s="444">
        <f>SUM(H51:I61)</f>
        <v>1336740.56</v>
      </c>
      <c r="I50" s="444"/>
    </row>
    <row r="51" spans="1:9" s="216" customFormat="1" ht="11.25" customHeight="1">
      <c r="A51" s="221" t="s">
        <v>474</v>
      </c>
      <c r="B51" s="445"/>
      <c r="C51" s="445"/>
      <c r="D51" s="240"/>
      <c r="E51" s="241"/>
      <c r="F51" s="445"/>
      <c r="G51" s="445"/>
      <c r="H51" s="442">
        <v>1336740.56</v>
      </c>
      <c r="I51" s="443"/>
    </row>
    <row r="52" spans="1:9" s="215" customFormat="1" ht="11.25" customHeight="1">
      <c r="A52" s="245" t="s">
        <v>475</v>
      </c>
      <c r="B52" s="445"/>
      <c r="C52" s="445"/>
      <c r="D52" s="240"/>
      <c r="E52" s="241"/>
      <c r="F52" s="445"/>
      <c r="G52" s="445"/>
      <c r="H52" s="442"/>
      <c r="I52" s="443"/>
    </row>
    <row r="53" spans="1:9" s="215" customFormat="1" ht="11.25" customHeight="1">
      <c r="A53" s="245" t="s">
        <v>476</v>
      </c>
      <c r="B53" s="445"/>
      <c r="C53" s="445"/>
      <c r="D53" s="240"/>
      <c r="E53" s="241"/>
      <c r="F53" s="445"/>
      <c r="G53" s="445"/>
      <c r="H53" s="442"/>
      <c r="I53" s="443"/>
    </row>
    <row r="54" spans="1:9" s="215" customFormat="1" ht="11.25" customHeight="1">
      <c r="A54" s="245" t="s">
        <v>477</v>
      </c>
      <c r="B54" s="445"/>
      <c r="C54" s="445"/>
      <c r="D54" s="240"/>
      <c r="E54" s="241"/>
      <c r="F54" s="445"/>
      <c r="G54" s="445"/>
      <c r="H54" s="442"/>
      <c r="I54" s="443"/>
    </row>
    <row r="55" spans="1:9" s="215" customFormat="1" ht="11.25" customHeight="1">
      <c r="A55" s="221" t="s">
        <v>478</v>
      </c>
      <c r="B55" s="445"/>
      <c r="C55" s="445"/>
      <c r="D55" s="240"/>
      <c r="E55" s="241"/>
      <c r="F55" s="445"/>
      <c r="G55" s="445"/>
      <c r="H55" s="442"/>
      <c r="I55" s="443"/>
    </row>
    <row r="56" spans="1:9" s="215" customFormat="1" ht="11.25" customHeight="1">
      <c r="A56" s="245" t="s">
        <v>479</v>
      </c>
      <c r="B56" s="445"/>
      <c r="C56" s="445"/>
      <c r="D56" s="240"/>
      <c r="E56" s="241"/>
      <c r="F56" s="445"/>
      <c r="G56" s="445"/>
      <c r="H56" s="442"/>
      <c r="I56" s="443"/>
    </row>
    <row r="57" spans="1:9" s="215" customFormat="1" ht="11.25" customHeight="1">
      <c r="A57" s="245" t="s">
        <v>476</v>
      </c>
      <c r="B57" s="445"/>
      <c r="C57" s="445"/>
      <c r="D57" s="240"/>
      <c r="E57" s="241"/>
      <c r="F57" s="445"/>
      <c r="G57" s="445"/>
      <c r="H57" s="442"/>
      <c r="I57" s="443"/>
    </row>
    <row r="58" spans="1:9" s="215" customFormat="1" ht="11.25" customHeight="1">
      <c r="A58" s="245" t="s">
        <v>477</v>
      </c>
      <c r="B58" s="445"/>
      <c r="C58" s="445"/>
      <c r="D58" s="240"/>
      <c r="E58" s="241"/>
      <c r="F58" s="445"/>
      <c r="G58" s="445"/>
      <c r="H58" s="442"/>
      <c r="I58" s="443"/>
    </row>
    <row r="59" spans="1:9" s="215" customFormat="1" ht="11.25" customHeight="1">
      <c r="A59" s="239" t="s">
        <v>480</v>
      </c>
      <c r="B59" s="445"/>
      <c r="C59" s="445"/>
      <c r="D59" s="240"/>
      <c r="E59" s="241"/>
      <c r="F59" s="445"/>
      <c r="G59" s="445"/>
      <c r="H59" s="442"/>
      <c r="I59" s="443"/>
    </row>
    <row r="60" spans="1:9" s="215" customFormat="1" ht="11.25" customHeight="1">
      <c r="A60" s="245" t="s">
        <v>481</v>
      </c>
      <c r="B60" s="445"/>
      <c r="C60" s="445"/>
      <c r="D60" s="240"/>
      <c r="E60" s="241"/>
      <c r="F60" s="445"/>
      <c r="G60" s="445"/>
      <c r="H60" s="442"/>
      <c r="I60" s="443"/>
    </row>
    <row r="61" spans="1:9" s="215" customFormat="1" ht="11.25" customHeight="1">
      <c r="A61" s="245" t="s">
        <v>482</v>
      </c>
      <c r="B61" s="445"/>
      <c r="C61" s="445"/>
      <c r="D61" s="246"/>
      <c r="E61" s="247"/>
      <c r="F61" s="445"/>
      <c r="G61" s="445"/>
      <c r="H61" s="442"/>
      <c r="I61" s="443"/>
    </row>
    <row r="62" spans="1:9" s="215" customFormat="1" ht="11.25" customHeight="1">
      <c r="A62" s="248" t="s">
        <v>483</v>
      </c>
      <c r="B62" s="442"/>
      <c r="C62" s="475"/>
      <c r="D62" s="475"/>
      <c r="E62" s="443"/>
      <c r="F62" s="425"/>
      <c r="G62" s="426"/>
      <c r="H62" s="423">
        <f>SUM(H47+H50)</f>
        <v>1359201.06</v>
      </c>
      <c r="I62" s="424"/>
    </row>
    <row r="63" spans="1:9" s="215" customFormat="1" ht="11.25" customHeight="1">
      <c r="A63" s="249"/>
      <c r="B63" s="250"/>
      <c r="C63" s="250"/>
      <c r="D63" s="251"/>
      <c r="E63" s="251"/>
      <c r="F63" s="251"/>
      <c r="G63" s="252"/>
      <c r="H63" s="252"/>
      <c r="I63" s="252"/>
    </row>
    <row r="64" spans="1:9" s="215" customFormat="1" ht="11.25" customHeight="1">
      <c r="A64" s="253" t="s">
        <v>191</v>
      </c>
      <c r="B64" s="455"/>
      <c r="C64" s="456"/>
      <c r="D64" s="456"/>
      <c r="E64" s="457"/>
      <c r="F64" s="458"/>
      <c r="G64" s="459"/>
      <c r="H64" s="458"/>
      <c r="I64" s="460"/>
    </row>
    <row r="65" spans="1:9" s="215" customFormat="1" ht="11.25" customHeight="1">
      <c r="A65" s="254"/>
      <c r="B65" s="255"/>
      <c r="C65" s="255"/>
      <c r="D65" s="255"/>
      <c r="E65" s="255"/>
      <c r="F65" s="256"/>
      <c r="G65" s="256"/>
      <c r="H65" s="256"/>
      <c r="I65" s="256"/>
    </row>
    <row r="66" spans="1:9" s="215" customFormat="1" ht="11.25" customHeight="1">
      <c r="A66" s="257" t="s">
        <v>484</v>
      </c>
      <c r="B66" s="439"/>
      <c r="C66" s="440"/>
      <c r="D66" s="440"/>
      <c r="E66" s="441"/>
      <c r="F66" s="439"/>
      <c r="G66" s="441"/>
      <c r="H66" s="439"/>
      <c r="I66" s="440"/>
    </row>
    <row r="67" spans="1:9" s="215" customFormat="1" ht="11.25" customHeight="1">
      <c r="A67" s="258" t="s">
        <v>485</v>
      </c>
      <c r="B67" s="466"/>
      <c r="C67" s="467"/>
      <c r="D67" s="467"/>
      <c r="E67" s="467"/>
      <c r="F67" s="467"/>
      <c r="G67" s="467"/>
      <c r="H67" s="467"/>
      <c r="I67" s="467"/>
    </row>
    <row r="68" spans="1:9" s="215" customFormat="1" ht="11.25" customHeight="1">
      <c r="A68" s="254"/>
      <c r="B68" s="255"/>
      <c r="C68" s="255"/>
      <c r="D68" s="256"/>
      <c r="E68" s="256"/>
      <c r="F68" s="259"/>
      <c r="G68" s="259"/>
      <c r="H68" s="259"/>
      <c r="I68" s="259"/>
    </row>
    <row r="69" spans="1:9" s="215" customFormat="1" ht="11.25" customHeight="1">
      <c r="A69" s="257" t="s">
        <v>192</v>
      </c>
      <c r="B69" s="468">
        <f>B46</f>
        <v>2016</v>
      </c>
      <c r="C69" s="469"/>
      <c r="D69" s="469"/>
      <c r="E69" s="470"/>
      <c r="F69" s="468">
        <f>F46</f>
        <v>2015</v>
      </c>
      <c r="G69" s="470"/>
      <c r="H69" s="468">
        <f>H46</f>
        <v>2014</v>
      </c>
      <c r="I69" s="469"/>
    </row>
    <row r="70" spans="1:9" s="215" customFormat="1" ht="11.25" customHeight="1">
      <c r="A70" s="258" t="s">
        <v>485</v>
      </c>
      <c r="B70" s="437"/>
      <c r="C70" s="438"/>
      <c r="D70" s="260"/>
      <c r="E70" s="260"/>
      <c r="F70" s="437"/>
      <c r="G70" s="438"/>
      <c r="H70" s="437"/>
      <c r="I70" s="438"/>
    </row>
    <row r="71" spans="1:6" s="215" customFormat="1" ht="11.25" customHeight="1">
      <c r="A71" s="252"/>
      <c r="B71" s="261"/>
      <c r="C71" s="262"/>
      <c r="D71" s="262"/>
      <c r="E71" s="262"/>
      <c r="F71" s="262"/>
    </row>
    <row r="72" spans="1:9" s="215" customFormat="1" ht="11.25" customHeight="1">
      <c r="A72" s="257" t="s">
        <v>486</v>
      </c>
      <c r="B72" s="461">
        <f>B69</f>
        <v>2016</v>
      </c>
      <c r="C72" s="462"/>
      <c r="D72" s="462"/>
      <c r="E72" s="463"/>
      <c r="F72" s="461">
        <f>F69</f>
        <v>2015</v>
      </c>
      <c r="G72" s="463"/>
      <c r="H72" s="461">
        <f>H69</f>
        <v>2014</v>
      </c>
      <c r="I72" s="462"/>
    </row>
    <row r="73" spans="1:9" s="215" customFormat="1" ht="11.25" customHeight="1">
      <c r="A73" s="263" t="s">
        <v>487</v>
      </c>
      <c r="B73" s="436"/>
      <c r="C73" s="436"/>
      <c r="D73" s="264"/>
      <c r="E73" s="252"/>
      <c r="F73" s="436"/>
      <c r="G73" s="436"/>
      <c r="H73" s="436"/>
      <c r="I73" s="436"/>
    </row>
    <row r="74" spans="1:9" s="215" customFormat="1" ht="11.25" customHeight="1">
      <c r="A74" s="265" t="s">
        <v>488</v>
      </c>
      <c r="B74" s="436"/>
      <c r="C74" s="436"/>
      <c r="D74" s="264"/>
      <c r="E74" s="252"/>
      <c r="F74" s="436"/>
      <c r="G74" s="436"/>
      <c r="H74" s="436"/>
      <c r="I74" s="436"/>
    </row>
    <row r="75" spans="1:9" s="215" customFormat="1" ht="11.25" customHeight="1">
      <c r="A75" s="252" t="s">
        <v>489</v>
      </c>
      <c r="B75" s="436"/>
      <c r="C75" s="436"/>
      <c r="D75" s="264"/>
      <c r="E75" s="252"/>
      <c r="F75" s="436"/>
      <c r="G75" s="436"/>
      <c r="H75" s="436"/>
      <c r="I75" s="436"/>
    </row>
    <row r="76" spans="1:9" s="215" customFormat="1" ht="11.25" customHeight="1">
      <c r="A76" s="266" t="s">
        <v>490</v>
      </c>
      <c r="B76" s="436"/>
      <c r="C76" s="436"/>
      <c r="D76" s="267"/>
      <c r="E76" s="268"/>
      <c r="F76" s="436"/>
      <c r="G76" s="436"/>
      <c r="H76" s="436"/>
      <c r="I76" s="436"/>
    </row>
    <row r="77" spans="1:7" s="215" customFormat="1" ht="11.25" customHeight="1">
      <c r="A77" s="269"/>
      <c r="B77" s="269"/>
      <c r="C77" s="269"/>
      <c r="D77" s="269"/>
      <c r="E77" s="269"/>
      <c r="F77" s="269"/>
      <c r="G77" s="252"/>
    </row>
    <row r="78" spans="1:9" s="215" customFormat="1" ht="11.25" customHeight="1">
      <c r="A78" s="270" t="s">
        <v>193</v>
      </c>
      <c r="B78" s="439">
        <f>B72</f>
        <v>2016</v>
      </c>
      <c r="C78" s="440"/>
      <c r="D78" s="440"/>
      <c r="E78" s="441"/>
      <c r="F78" s="439">
        <f>F72</f>
        <v>2015</v>
      </c>
      <c r="G78" s="441"/>
      <c r="H78" s="439">
        <f>H72</f>
        <v>2014</v>
      </c>
      <c r="I78" s="440"/>
    </row>
    <row r="79" spans="1:9" s="215" customFormat="1" ht="11.25" customHeight="1">
      <c r="A79" s="271" t="s">
        <v>491</v>
      </c>
      <c r="B79" s="436"/>
      <c r="C79" s="436"/>
      <c r="D79" s="271"/>
      <c r="E79" s="271"/>
      <c r="F79" s="436"/>
      <c r="G79" s="436"/>
      <c r="H79" s="436"/>
      <c r="I79" s="436"/>
    </row>
    <row r="80" spans="1:9" s="215" customFormat="1" ht="11.25" customHeight="1">
      <c r="A80" s="272" t="s">
        <v>492</v>
      </c>
      <c r="B80" s="436"/>
      <c r="C80" s="436"/>
      <c r="D80" s="272"/>
      <c r="E80" s="272"/>
      <c r="F80" s="436"/>
      <c r="G80" s="436"/>
      <c r="H80" s="436"/>
      <c r="I80" s="436"/>
    </row>
    <row r="81" spans="1:9" s="215" customFormat="1" ht="11.25" customHeight="1">
      <c r="A81" s="273" t="s">
        <v>493</v>
      </c>
      <c r="B81" s="436"/>
      <c r="C81" s="436"/>
      <c r="D81" s="274"/>
      <c r="E81" s="274"/>
      <c r="F81" s="436"/>
      <c r="G81" s="436"/>
      <c r="H81" s="436"/>
      <c r="I81" s="436"/>
    </row>
    <row r="82" spans="1:9" s="215" customFormat="1" ht="11.25" customHeight="1" thickBot="1">
      <c r="A82" s="275"/>
      <c r="B82" s="276"/>
      <c r="C82" s="276"/>
      <c r="D82" s="218"/>
      <c r="E82" s="218"/>
      <c r="F82" s="218"/>
      <c r="G82" s="252"/>
      <c r="H82" s="252"/>
      <c r="I82" s="252"/>
    </row>
    <row r="83" spans="1:9" s="215" customFormat="1" ht="11.25" customHeight="1">
      <c r="A83" s="464" t="s">
        <v>494</v>
      </c>
      <c r="B83" s="465"/>
      <c r="C83" s="465"/>
      <c r="D83" s="465"/>
      <c r="E83" s="465"/>
      <c r="F83" s="465"/>
      <c r="G83" s="465"/>
      <c r="H83" s="465"/>
      <c r="I83" s="465"/>
    </row>
    <row r="84" spans="1:9" s="215" customFormat="1" ht="11.25" customHeight="1">
      <c r="A84" s="277" t="s">
        <v>451</v>
      </c>
      <c r="B84" s="461">
        <f>B78</f>
        <v>2016</v>
      </c>
      <c r="C84" s="462"/>
      <c r="D84" s="462"/>
      <c r="E84" s="463"/>
      <c r="F84" s="439">
        <f>F78</f>
        <v>2015</v>
      </c>
      <c r="G84" s="441"/>
      <c r="H84" s="439">
        <f>H78</f>
        <v>2014</v>
      </c>
      <c r="I84" s="440"/>
    </row>
    <row r="85" spans="1:9" s="238" customFormat="1" ht="11.25" customHeight="1">
      <c r="A85" s="278" t="s">
        <v>495</v>
      </c>
      <c r="B85" s="434">
        <f>SUM(B86:C112)</f>
        <v>0</v>
      </c>
      <c r="C85" s="435"/>
      <c r="D85" s="279"/>
      <c r="E85" s="280"/>
      <c r="F85" s="434">
        <f>SUM(F86:G112)</f>
        <v>0</v>
      </c>
      <c r="G85" s="435"/>
      <c r="H85" s="434">
        <f>SUM(H86:I112)</f>
        <v>0</v>
      </c>
      <c r="I85" s="435"/>
    </row>
    <row r="86" spans="1:9" s="215" customFormat="1" ht="11.25" customHeight="1">
      <c r="A86" s="221" t="s">
        <v>496</v>
      </c>
      <c r="B86" s="429"/>
      <c r="C86" s="430"/>
      <c r="D86" s="281"/>
      <c r="E86" s="282"/>
      <c r="F86" s="429"/>
      <c r="G86" s="430"/>
      <c r="H86" s="429"/>
      <c r="I86" s="430"/>
    </row>
    <row r="87" spans="1:9" s="215" customFormat="1" ht="11.25" customHeight="1">
      <c r="A87" s="223" t="s">
        <v>454</v>
      </c>
      <c r="B87" s="429"/>
      <c r="C87" s="430"/>
      <c r="D87" s="281"/>
      <c r="E87" s="282"/>
      <c r="F87" s="429"/>
      <c r="G87" s="430"/>
      <c r="H87" s="429"/>
      <c r="I87" s="430"/>
    </row>
    <row r="88" spans="1:9" s="215" customFormat="1" ht="11.25" customHeight="1">
      <c r="A88" s="224" t="s">
        <v>455</v>
      </c>
      <c r="B88" s="429"/>
      <c r="C88" s="430"/>
      <c r="D88" s="281"/>
      <c r="E88" s="282"/>
      <c r="F88" s="429"/>
      <c r="G88" s="430"/>
      <c r="H88" s="429"/>
      <c r="I88" s="430"/>
    </row>
    <row r="89" spans="1:9" s="215" customFormat="1" ht="11.25" customHeight="1">
      <c r="A89" s="224" t="s">
        <v>456</v>
      </c>
      <c r="B89" s="429"/>
      <c r="C89" s="430"/>
      <c r="D89" s="281"/>
      <c r="E89" s="282"/>
      <c r="F89" s="429"/>
      <c r="G89" s="430"/>
      <c r="H89" s="429"/>
      <c r="I89" s="430"/>
    </row>
    <row r="90" spans="1:9" s="215" customFormat="1" ht="11.25" customHeight="1">
      <c r="A90" s="224" t="s">
        <v>457</v>
      </c>
      <c r="B90" s="429"/>
      <c r="C90" s="430"/>
      <c r="D90" s="281"/>
      <c r="E90" s="282"/>
      <c r="F90" s="429"/>
      <c r="G90" s="430"/>
      <c r="H90" s="429"/>
      <c r="I90" s="430"/>
    </row>
    <row r="91" spans="1:9" s="215" customFormat="1" ht="11.25" customHeight="1">
      <c r="A91" s="223" t="s">
        <v>458</v>
      </c>
      <c r="B91" s="429"/>
      <c r="C91" s="430"/>
      <c r="D91" s="281"/>
      <c r="E91" s="282"/>
      <c r="F91" s="429"/>
      <c r="G91" s="430"/>
      <c r="H91" s="429"/>
      <c r="I91" s="430"/>
    </row>
    <row r="92" spans="1:9" s="215" customFormat="1" ht="11.25" customHeight="1">
      <c r="A92" s="224" t="s">
        <v>455</v>
      </c>
      <c r="B92" s="429"/>
      <c r="C92" s="430"/>
      <c r="D92" s="281"/>
      <c r="E92" s="282"/>
      <c r="F92" s="429"/>
      <c r="G92" s="430"/>
      <c r="H92" s="429"/>
      <c r="I92" s="430"/>
    </row>
    <row r="93" spans="1:9" s="215" customFormat="1" ht="11.25" customHeight="1">
      <c r="A93" s="224" t="s">
        <v>456</v>
      </c>
      <c r="B93" s="429"/>
      <c r="C93" s="430"/>
      <c r="D93" s="281"/>
      <c r="E93" s="282"/>
      <c r="F93" s="429"/>
      <c r="G93" s="430"/>
      <c r="H93" s="429"/>
      <c r="I93" s="430"/>
    </row>
    <row r="94" spans="1:9" s="215" customFormat="1" ht="11.25" customHeight="1">
      <c r="A94" s="224" t="s">
        <v>457</v>
      </c>
      <c r="B94" s="429"/>
      <c r="C94" s="430"/>
      <c r="D94" s="281"/>
      <c r="E94" s="282"/>
      <c r="F94" s="429"/>
      <c r="G94" s="430"/>
      <c r="H94" s="429"/>
      <c r="I94" s="430"/>
    </row>
    <row r="95" spans="1:9" s="215" customFormat="1" ht="11.25" customHeight="1">
      <c r="A95" s="221" t="s">
        <v>497</v>
      </c>
      <c r="B95" s="429"/>
      <c r="C95" s="430"/>
      <c r="D95" s="281"/>
      <c r="E95" s="282"/>
      <c r="F95" s="429"/>
      <c r="G95" s="430"/>
      <c r="H95" s="429"/>
      <c r="I95" s="430"/>
    </row>
    <row r="96" spans="1:9" s="215" customFormat="1" ht="11.25" customHeight="1">
      <c r="A96" s="223" t="s">
        <v>454</v>
      </c>
      <c r="B96" s="429"/>
      <c r="C96" s="430"/>
      <c r="D96" s="281"/>
      <c r="E96" s="282"/>
      <c r="F96" s="429"/>
      <c r="G96" s="430"/>
      <c r="H96" s="429"/>
      <c r="I96" s="430"/>
    </row>
    <row r="97" spans="1:9" s="215" customFormat="1" ht="11.25" customHeight="1">
      <c r="A97" s="224" t="s">
        <v>455</v>
      </c>
      <c r="B97" s="429"/>
      <c r="C97" s="430"/>
      <c r="D97" s="281"/>
      <c r="E97" s="282"/>
      <c r="F97" s="429"/>
      <c r="G97" s="430"/>
      <c r="H97" s="429"/>
      <c r="I97" s="430"/>
    </row>
    <row r="98" spans="1:9" s="215" customFormat="1" ht="11.25" customHeight="1">
      <c r="A98" s="224" t="s">
        <v>456</v>
      </c>
      <c r="B98" s="429"/>
      <c r="C98" s="430"/>
      <c r="D98" s="281"/>
      <c r="E98" s="282"/>
      <c r="F98" s="429"/>
      <c r="G98" s="430"/>
      <c r="H98" s="429"/>
      <c r="I98" s="430"/>
    </row>
    <row r="99" spans="1:9" s="215" customFormat="1" ht="11.25" customHeight="1">
      <c r="A99" s="224" t="s">
        <v>457</v>
      </c>
      <c r="B99" s="429"/>
      <c r="C99" s="430"/>
      <c r="D99" s="281"/>
      <c r="E99" s="282"/>
      <c r="F99" s="429"/>
      <c r="G99" s="430"/>
      <c r="H99" s="429"/>
      <c r="I99" s="430"/>
    </row>
    <row r="100" spans="1:9" s="215" customFormat="1" ht="11.25" customHeight="1">
      <c r="A100" s="223" t="s">
        <v>458</v>
      </c>
      <c r="B100" s="429"/>
      <c r="C100" s="430"/>
      <c r="D100" s="281"/>
      <c r="E100" s="282"/>
      <c r="F100" s="429"/>
      <c r="G100" s="430"/>
      <c r="H100" s="429"/>
      <c r="I100" s="430"/>
    </row>
    <row r="101" spans="1:9" s="215" customFormat="1" ht="11.25" customHeight="1">
      <c r="A101" s="224" t="s">
        <v>455</v>
      </c>
      <c r="B101" s="429"/>
      <c r="C101" s="430"/>
      <c r="D101" s="281"/>
      <c r="E101" s="282"/>
      <c r="F101" s="429"/>
      <c r="G101" s="430"/>
      <c r="H101" s="429"/>
      <c r="I101" s="430"/>
    </row>
    <row r="102" spans="1:9" s="215" customFormat="1" ht="11.25" customHeight="1">
      <c r="A102" s="224" t="s">
        <v>456</v>
      </c>
      <c r="B102" s="429"/>
      <c r="C102" s="430"/>
      <c r="D102" s="281"/>
      <c r="E102" s="282"/>
      <c r="F102" s="429"/>
      <c r="G102" s="430"/>
      <c r="H102" s="429"/>
      <c r="I102" s="430"/>
    </row>
    <row r="103" spans="1:9" s="215" customFormat="1" ht="11.25" customHeight="1">
      <c r="A103" s="224" t="s">
        <v>457</v>
      </c>
      <c r="B103" s="429"/>
      <c r="C103" s="430"/>
      <c r="D103" s="281"/>
      <c r="E103" s="282"/>
      <c r="F103" s="429"/>
      <c r="G103" s="430"/>
      <c r="H103" s="429"/>
      <c r="I103" s="430"/>
    </row>
    <row r="104" spans="1:9" s="215" customFormat="1" ht="11.25" customHeight="1">
      <c r="A104" s="223" t="s">
        <v>510</v>
      </c>
      <c r="B104" s="429"/>
      <c r="C104" s="430"/>
      <c r="D104" s="281"/>
      <c r="E104" s="282"/>
      <c r="F104" s="429"/>
      <c r="G104" s="430"/>
      <c r="H104" s="429"/>
      <c r="I104" s="430"/>
    </row>
    <row r="105" spans="1:9" s="215" customFormat="1" ht="11.25" customHeight="1">
      <c r="A105" s="221" t="s">
        <v>262</v>
      </c>
      <c r="B105" s="429"/>
      <c r="C105" s="430"/>
      <c r="D105" s="281"/>
      <c r="E105" s="282"/>
      <c r="F105" s="429"/>
      <c r="G105" s="430"/>
      <c r="H105" s="429"/>
      <c r="I105" s="430"/>
    </row>
    <row r="106" spans="1:9" s="215" customFormat="1" ht="11.25" customHeight="1">
      <c r="A106" s="223" t="s">
        <v>461</v>
      </c>
      <c r="B106" s="429"/>
      <c r="C106" s="430"/>
      <c r="D106" s="281"/>
      <c r="E106" s="282"/>
      <c r="F106" s="429"/>
      <c r="G106" s="430"/>
      <c r="H106" s="429"/>
      <c r="I106" s="430"/>
    </row>
    <row r="107" spans="1:9" s="215" customFormat="1" ht="11.25" customHeight="1">
      <c r="A107" s="223" t="s">
        <v>462</v>
      </c>
      <c r="B107" s="429"/>
      <c r="C107" s="430"/>
      <c r="D107" s="281"/>
      <c r="E107" s="282"/>
      <c r="F107" s="429"/>
      <c r="G107" s="430"/>
      <c r="H107" s="429"/>
      <c r="I107" s="430"/>
    </row>
    <row r="108" spans="1:9" s="215" customFormat="1" ht="11.25" customHeight="1">
      <c r="A108" s="223" t="s">
        <v>463</v>
      </c>
      <c r="B108" s="429"/>
      <c r="C108" s="430"/>
      <c r="D108" s="281"/>
      <c r="E108" s="282"/>
      <c r="F108" s="429"/>
      <c r="G108" s="430"/>
      <c r="H108" s="429"/>
      <c r="I108" s="430"/>
    </row>
    <row r="109" spans="1:9" s="215" customFormat="1" ht="11.25" customHeight="1">
      <c r="A109" s="221" t="s">
        <v>286</v>
      </c>
      <c r="B109" s="429"/>
      <c r="C109" s="430"/>
      <c r="D109" s="281"/>
      <c r="E109" s="282"/>
      <c r="F109" s="429"/>
      <c r="G109" s="430"/>
      <c r="H109" s="429"/>
      <c r="I109" s="430"/>
    </row>
    <row r="110" spans="1:9" s="215" customFormat="1" ht="11.25" customHeight="1">
      <c r="A110" s="221" t="s">
        <v>342</v>
      </c>
      <c r="B110" s="429"/>
      <c r="C110" s="430"/>
      <c r="D110" s="281"/>
      <c r="E110" s="282"/>
      <c r="F110" s="429"/>
      <c r="G110" s="430"/>
      <c r="H110" s="429"/>
      <c r="I110" s="430"/>
    </row>
    <row r="111" spans="1:9" s="215" customFormat="1" ht="11.25" customHeight="1">
      <c r="A111" s="223" t="s">
        <v>465</v>
      </c>
      <c r="B111" s="429"/>
      <c r="C111" s="430"/>
      <c r="D111" s="281"/>
      <c r="E111" s="282"/>
      <c r="F111" s="429"/>
      <c r="G111" s="430"/>
      <c r="H111" s="429"/>
      <c r="I111" s="430"/>
    </row>
    <row r="112" spans="1:9" s="215" customFormat="1" ht="11.25" customHeight="1">
      <c r="A112" s="223" t="s">
        <v>348</v>
      </c>
      <c r="B112" s="429"/>
      <c r="C112" s="430"/>
      <c r="D112" s="281"/>
      <c r="E112" s="282"/>
      <c r="F112" s="429"/>
      <c r="G112" s="430"/>
      <c r="H112" s="429"/>
      <c r="I112" s="430"/>
    </row>
    <row r="113" spans="1:9" s="238" customFormat="1" ht="11.25" customHeight="1">
      <c r="A113" s="226" t="s">
        <v>498</v>
      </c>
      <c r="B113" s="434"/>
      <c r="C113" s="435"/>
      <c r="D113" s="283"/>
      <c r="E113" s="284"/>
      <c r="F113" s="434"/>
      <c r="G113" s="435"/>
      <c r="H113" s="434"/>
      <c r="I113" s="435"/>
    </row>
    <row r="114" spans="1:9" s="215" customFormat="1" ht="11.25" customHeight="1">
      <c r="A114" s="221" t="s">
        <v>467</v>
      </c>
      <c r="B114" s="429"/>
      <c r="C114" s="430"/>
      <c r="D114" s="281"/>
      <c r="E114" s="282"/>
      <c r="F114" s="429"/>
      <c r="G114" s="430"/>
      <c r="H114" s="429"/>
      <c r="I114" s="430"/>
    </row>
    <row r="115" spans="1:9" s="215" customFormat="1" ht="11.25" customHeight="1">
      <c r="A115" s="221" t="s">
        <v>368</v>
      </c>
      <c r="B115" s="429"/>
      <c r="C115" s="430"/>
      <c r="D115" s="281"/>
      <c r="E115" s="282"/>
      <c r="F115" s="429"/>
      <c r="G115" s="430"/>
      <c r="H115" s="429"/>
      <c r="I115" s="430"/>
    </row>
    <row r="116" spans="1:9" s="215" customFormat="1" ht="11.25" customHeight="1">
      <c r="A116" s="221" t="s">
        <v>379</v>
      </c>
      <c r="B116" s="429"/>
      <c r="C116" s="430"/>
      <c r="D116" s="281"/>
      <c r="E116" s="282"/>
      <c r="F116" s="429"/>
      <c r="G116" s="430"/>
      <c r="H116" s="429"/>
      <c r="I116" s="430"/>
    </row>
    <row r="117" spans="1:9" s="215" customFormat="1" ht="11.25" customHeight="1">
      <c r="A117" s="285" t="s">
        <v>499</v>
      </c>
      <c r="B117" s="286"/>
      <c r="C117" s="287"/>
      <c r="D117" s="288"/>
      <c r="E117" s="289"/>
      <c r="F117" s="290"/>
      <c r="G117" s="289"/>
      <c r="H117" s="288"/>
      <c r="I117" s="288"/>
    </row>
    <row r="118" spans="2:9" s="215" customFormat="1" ht="11.25" customHeight="1">
      <c r="B118" s="291"/>
      <c r="C118" s="291"/>
      <c r="D118" s="291"/>
      <c r="E118" s="291"/>
      <c r="F118" s="292"/>
      <c r="G118" s="293"/>
      <c r="H118" s="293"/>
      <c r="I118" s="293"/>
    </row>
    <row r="119" spans="1:9" s="215" customFormat="1" ht="11.25" customHeight="1">
      <c r="A119" s="234" t="s">
        <v>469</v>
      </c>
      <c r="B119" s="431">
        <f>B84</f>
        <v>2016</v>
      </c>
      <c r="C119" s="432"/>
      <c r="D119" s="432"/>
      <c r="E119" s="294"/>
      <c r="F119" s="431">
        <f>F84</f>
        <v>2015</v>
      </c>
      <c r="G119" s="433"/>
      <c r="H119" s="431">
        <f>H84</f>
        <v>2014</v>
      </c>
      <c r="I119" s="432"/>
    </row>
    <row r="120" spans="1:9" s="215" customFormat="1" ht="11.25" customHeight="1">
      <c r="A120" s="295" t="s">
        <v>500</v>
      </c>
      <c r="B120" s="429"/>
      <c r="C120" s="430"/>
      <c r="D120" s="296"/>
      <c r="E120" s="296"/>
      <c r="F120" s="429"/>
      <c r="G120" s="430"/>
      <c r="H120" s="429"/>
      <c r="I120" s="430"/>
    </row>
    <row r="121" spans="1:9" s="215" customFormat="1" ht="11.25" customHeight="1">
      <c r="A121" s="239" t="s">
        <v>471</v>
      </c>
      <c r="B121" s="429"/>
      <c r="C121" s="430"/>
      <c r="D121" s="296"/>
      <c r="E121" s="296"/>
      <c r="F121" s="429"/>
      <c r="G121" s="430"/>
      <c r="H121" s="429"/>
      <c r="I121" s="430"/>
    </row>
    <row r="122" spans="1:9" s="215" customFormat="1" ht="11.25" customHeight="1">
      <c r="A122" s="239" t="s">
        <v>472</v>
      </c>
      <c r="B122" s="429"/>
      <c r="C122" s="430"/>
      <c r="D122" s="296"/>
      <c r="E122" s="296"/>
      <c r="F122" s="429"/>
      <c r="G122" s="430"/>
      <c r="H122" s="429"/>
      <c r="I122" s="430"/>
    </row>
    <row r="123" spans="1:9" s="215" customFormat="1" ht="11.25" customHeight="1">
      <c r="A123" s="297" t="s">
        <v>501</v>
      </c>
      <c r="B123" s="429"/>
      <c r="C123" s="430"/>
      <c r="D123" s="296"/>
      <c r="E123" s="296"/>
      <c r="F123" s="429"/>
      <c r="G123" s="430"/>
      <c r="H123" s="429"/>
      <c r="I123" s="430"/>
    </row>
    <row r="124" spans="1:9" s="215" customFormat="1" ht="11.25" customHeight="1">
      <c r="A124" s="221" t="s">
        <v>474</v>
      </c>
      <c r="B124" s="429"/>
      <c r="C124" s="430"/>
      <c r="D124" s="296"/>
      <c r="E124" s="296"/>
      <c r="F124" s="429"/>
      <c r="G124" s="430"/>
      <c r="H124" s="429"/>
      <c r="I124" s="430"/>
    </row>
    <row r="125" spans="1:9" s="215" customFormat="1" ht="11.25" customHeight="1">
      <c r="A125" s="245" t="s">
        <v>502</v>
      </c>
      <c r="B125" s="429"/>
      <c r="C125" s="430"/>
      <c r="D125" s="296"/>
      <c r="E125" s="296"/>
      <c r="F125" s="429"/>
      <c r="G125" s="430"/>
      <c r="H125" s="429"/>
      <c r="I125" s="430"/>
    </row>
    <row r="126" spans="1:9" s="215" customFormat="1" ht="11.25" customHeight="1">
      <c r="A126" s="245" t="s">
        <v>476</v>
      </c>
      <c r="B126" s="429"/>
      <c r="C126" s="430"/>
      <c r="D126" s="296"/>
      <c r="E126" s="296"/>
      <c r="F126" s="429"/>
      <c r="G126" s="430"/>
      <c r="H126" s="429"/>
      <c r="I126" s="430"/>
    </row>
    <row r="127" spans="1:9" s="215" customFormat="1" ht="11.25" customHeight="1">
      <c r="A127" s="245" t="s">
        <v>477</v>
      </c>
      <c r="B127" s="429"/>
      <c r="C127" s="430"/>
      <c r="D127" s="296"/>
      <c r="E127" s="296"/>
      <c r="F127" s="429"/>
      <c r="G127" s="430"/>
      <c r="H127" s="429"/>
      <c r="I127" s="430"/>
    </row>
    <row r="128" spans="1:9" s="215" customFormat="1" ht="11.25" customHeight="1">
      <c r="A128" s="221" t="s">
        <v>478</v>
      </c>
      <c r="B128" s="429"/>
      <c r="C128" s="430"/>
      <c r="D128" s="296"/>
      <c r="E128" s="296"/>
      <c r="F128" s="429"/>
      <c r="G128" s="430"/>
      <c r="H128" s="429"/>
      <c r="I128" s="430"/>
    </row>
    <row r="129" spans="1:9" s="215" customFormat="1" ht="11.25" customHeight="1">
      <c r="A129" s="245" t="s">
        <v>479</v>
      </c>
      <c r="B129" s="429"/>
      <c r="C129" s="430"/>
      <c r="D129" s="296"/>
      <c r="E129" s="296"/>
      <c r="F129" s="429"/>
      <c r="G129" s="430"/>
      <c r="H129" s="429"/>
      <c r="I129" s="430"/>
    </row>
    <row r="130" spans="1:9" s="215" customFormat="1" ht="11.25" customHeight="1">
      <c r="A130" s="245" t="s">
        <v>476</v>
      </c>
      <c r="B130" s="429"/>
      <c r="C130" s="430"/>
      <c r="D130" s="296"/>
      <c r="E130" s="296"/>
      <c r="F130" s="429"/>
      <c r="G130" s="430"/>
      <c r="H130" s="429"/>
      <c r="I130" s="430"/>
    </row>
    <row r="131" spans="1:9" s="215" customFormat="1" ht="11.25" customHeight="1">
      <c r="A131" s="245" t="s">
        <v>477</v>
      </c>
      <c r="B131" s="429"/>
      <c r="C131" s="430"/>
      <c r="D131" s="296"/>
      <c r="E131" s="296"/>
      <c r="F131" s="429"/>
      <c r="G131" s="430"/>
      <c r="H131" s="429"/>
      <c r="I131" s="430"/>
    </row>
    <row r="132" spans="1:9" s="215" customFormat="1" ht="11.25" customHeight="1">
      <c r="A132" s="239" t="s">
        <v>480</v>
      </c>
      <c r="B132" s="429"/>
      <c r="C132" s="430"/>
      <c r="D132" s="296"/>
      <c r="E132" s="296"/>
      <c r="F132" s="429"/>
      <c r="G132" s="430"/>
      <c r="H132" s="429"/>
      <c r="I132" s="430"/>
    </row>
    <row r="133" spans="1:9" s="215" customFormat="1" ht="11.25" customHeight="1">
      <c r="A133" s="245" t="s">
        <v>481</v>
      </c>
      <c r="B133" s="429"/>
      <c r="C133" s="430"/>
      <c r="D133" s="296"/>
      <c r="E133" s="296"/>
      <c r="F133" s="429"/>
      <c r="G133" s="430"/>
      <c r="H133" s="429"/>
      <c r="I133" s="430"/>
    </row>
    <row r="134" spans="1:9" s="215" customFormat="1" ht="11.25" customHeight="1">
      <c r="A134" s="245" t="s">
        <v>482</v>
      </c>
      <c r="B134" s="429"/>
      <c r="C134" s="430"/>
      <c r="D134" s="296"/>
      <c r="E134" s="296"/>
      <c r="F134" s="429"/>
      <c r="G134" s="430"/>
      <c r="H134" s="429"/>
      <c r="I134" s="430"/>
    </row>
    <row r="135" spans="1:9" s="215" customFormat="1" ht="11.25" customHeight="1">
      <c r="A135" s="248" t="s">
        <v>503</v>
      </c>
      <c r="B135" s="442"/>
      <c r="C135" s="475"/>
      <c r="D135" s="475"/>
      <c r="E135" s="443"/>
      <c r="F135" s="442"/>
      <c r="G135" s="443"/>
      <c r="H135" s="423"/>
      <c r="I135" s="476"/>
    </row>
    <row r="136" spans="1:9" s="215" customFormat="1" ht="11.25" customHeight="1">
      <c r="A136" s="249"/>
      <c r="B136" s="250"/>
      <c r="C136" s="250"/>
      <c r="D136" s="251"/>
      <c r="E136" s="251"/>
      <c r="F136" s="251"/>
      <c r="G136" s="252"/>
      <c r="H136" s="252"/>
      <c r="I136" s="252"/>
    </row>
    <row r="137" spans="1:9" s="215" customFormat="1" ht="11.25" customHeight="1">
      <c r="A137" s="253" t="s">
        <v>504</v>
      </c>
      <c r="B137" s="455"/>
      <c r="C137" s="456"/>
      <c r="D137" s="456"/>
      <c r="E137" s="457"/>
      <c r="F137" s="458"/>
      <c r="G137" s="459"/>
      <c r="H137" s="458"/>
      <c r="I137" s="460"/>
    </row>
    <row r="138" spans="1:6" s="215" customFormat="1" ht="11.25" customHeight="1">
      <c r="A138" s="252"/>
      <c r="B138" s="261"/>
      <c r="C138" s="262"/>
      <c r="D138" s="262"/>
      <c r="E138" s="262"/>
      <c r="F138" s="262"/>
    </row>
    <row r="139" spans="1:9" s="215" customFormat="1" ht="11.25" customHeight="1">
      <c r="A139" s="257" t="s">
        <v>505</v>
      </c>
      <c r="B139" s="461">
        <f>B119</f>
        <v>2016</v>
      </c>
      <c r="C139" s="462"/>
      <c r="D139" s="462"/>
      <c r="E139" s="463"/>
      <c r="F139" s="461">
        <f>F119</f>
        <v>2015</v>
      </c>
      <c r="G139" s="463"/>
      <c r="H139" s="461">
        <f>H119</f>
        <v>2014</v>
      </c>
      <c r="I139" s="462"/>
    </row>
    <row r="140" spans="1:9" s="215" customFormat="1" ht="11.25" customHeight="1">
      <c r="A140" s="263" t="s">
        <v>506</v>
      </c>
      <c r="B140" s="427"/>
      <c r="C140" s="428"/>
      <c r="D140" s="264"/>
      <c r="E140" s="252"/>
      <c r="F140" s="427"/>
      <c r="G140" s="428"/>
      <c r="H140" s="427"/>
      <c r="I140" s="428"/>
    </row>
    <row r="141" spans="1:9" s="215" customFormat="1" ht="11.25" customHeight="1">
      <c r="A141" s="298" t="s">
        <v>507</v>
      </c>
      <c r="B141" s="427"/>
      <c r="C141" s="428"/>
      <c r="D141" s="267"/>
      <c r="E141" s="268"/>
      <c r="F141" s="427"/>
      <c r="G141" s="428"/>
      <c r="H141" s="427"/>
      <c r="I141" s="428"/>
    </row>
    <row r="142" spans="1:9" s="215" customFormat="1" ht="11.25" customHeight="1" thickBot="1">
      <c r="A142" s="299"/>
      <c r="B142" s="300"/>
      <c r="C142" s="300"/>
      <c r="D142" s="301"/>
      <c r="E142" s="302"/>
      <c r="F142" s="301"/>
      <c r="G142" s="302"/>
      <c r="H142" s="301"/>
      <c r="I142" s="302"/>
    </row>
    <row r="143" spans="1:9" s="215" customFormat="1" ht="11.25" customHeight="1" thickBot="1">
      <c r="A143" s="472" t="s">
        <v>508</v>
      </c>
      <c r="B143" s="472"/>
      <c r="C143" s="472"/>
      <c r="D143" s="472"/>
      <c r="E143" s="472"/>
      <c r="F143" s="472"/>
      <c r="G143" s="472"/>
      <c r="H143" s="472"/>
      <c r="I143" s="472"/>
    </row>
    <row r="144" spans="1:9" s="215" customFormat="1" ht="11.25" customHeight="1">
      <c r="A144" s="473"/>
      <c r="B144" s="474"/>
      <c r="C144" s="474"/>
      <c r="D144" s="474"/>
      <c r="E144" s="474"/>
      <c r="F144" s="474"/>
      <c r="G144" s="474"/>
      <c r="H144" s="474"/>
      <c r="I144" s="474"/>
    </row>
    <row r="145" spans="1:9" s="215" customFormat="1" ht="11.25" customHeight="1">
      <c r="A145" s="303" t="s">
        <v>108</v>
      </c>
      <c r="B145" s="304" t="s">
        <v>511</v>
      </c>
      <c r="C145" s="439" t="s">
        <v>512</v>
      </c>
      <c r="D145" s="462"/>
      <c r="E145" s="463"/>
      <c r="F145" s="439" t="s">
        <v>513</v>
      </c>
      <c r="G145" s="441"/>
      <c r="H145" s="439" t="s">
        <v>514</v>
      </c>
      <c r="I145" s="440"/>
    </row>
    <row r="146" spans="1:9" s="215" customFormat="1" ht="11.25" customHeight="1">
      <c r="A146" s="451"/>
      <c r="B146" s="305"/>
      <c r="C146" s="305"/>
      <c r="D146" s="305"/>
      <c r="E146" s="306"/>
      <c r="F146" s="454"/>
      <c r="G146" s="428"/>
      <c r="H146" s="454"/>
      <c r="I146" s="428"/>
    </row>
    <row r="147" spans="1:9" s="215" customFormat="1" ht="11.25" customHeight="1">
      <c r="A147" s="452"/>
      <c r="B147" s="307"/>
      <c r="C147" s="307"/>
      <c r="D147" s="307"/>
      <c r="E147" s="307"/>
      <c r="F147" s="454"/>
      <c r="G147" s="428"/>
      <c r="H147" s="454"/>
      <c r="I147" s="428"/>
    </row>
    <row r="148" spans="1:9" s="215" customFormat="1" ht="11.25" customHeight="1">
      <c r="A148" s="452"/>
      <c r="B148" s="308"/>
      <c r="C148" s="308"/>
      <c r="D148" s="307"/>
      <c r="E148" s="307"/>
      <c r="F148" s="454"/>
      <c r="G148" s="428"/>
      <c r="H148" s="454"/>
      <c r="I148" s="428"/>
    </row>
    <row r="149" spans="1:9" s="215" customFormat="1" ht="11.25" customHeight="1">
      <c r="A149" s="452"/>
      <c r="B149" s="308"/>
      <c r="C149" s="308"/>
      <c r="D149" s="307"/>
      <c r="E149" s="307"/>
      <c r="F149" s="454"/>
      <c r="G149" s="428"/>
      <c r="H149" s="454"/>
      <c r="I149" s="428"/>
    </row>
    <row r="150" spans="1:9" s="215" customFormat="1" ht="11.25" customHeight="1">
      <c r="A150" s="452"/>
      <c r="B150" s="308"/>
      <c r="C150" s="308"/>
      <c r="D150" s="307"/>
      <c r="E150" s="307"/>
      <c r="F150" s="454"/>
      <c r="G150" s="428"/>
      <c r="H150" s="454"/>
      <c r="I150" s="428"/>
    </row>
    <row r="151" spans="1:9" s="215" customFormat="1" ht="11.25" customHeight="1">
      <c r="A151" s="452"/>
      <c r="B151" s="308"/>
      <c r="C151" s="308"/>
      <c r="D151" s="307"/>
      <c r="E151" s="307"/>
      <c r="F151" s="454"/>
      <c r="G151" s="428"/>
      <c r="H151" s="454"/>
      <c r="I151" s="428"/>
    </row>
    <row r="152" spans="1:9" s="215" customFormat="1" ht="11.25" customHeight="1">
      <c r="A152" s="452"/>
      <c r="B152" s="308"/>
      <c r="C152" s="308"/>
      <c r="D152" s="307"/>
      <c r="E152" s="307"/>
      <c r="F152" s="454"/>
      <c r="G152" s="428"/>
      <c r="H152" s="454"/>
      <c r="I152" s="428"/>
    </row>
    <row r="153" spans="1:9" s="215" customFormat="1" ht="11.25" customHeight="1">
      <c r="A153" s="453"/>
      <c r="B153" s="309"/>
      <c r="C153" s="309"/>
      <c r="D153" s="310"/>
      <c r="E153" s="311"/>
      <c r="F153" s="454"/>
      <c r="G153" s="428"/>
      <c r="H153" s="454"/>
      <c r="I153" s="428"/>
    </row>
    <row r="154" spans="1:9" ht="11.25" customHeight="1">
      <c r="A154" s="450" t="s">
        <v>509</v>
      </c>
      <c r="B154" s="450"/>
      <c r="C154" s="450"/>
      <c r="D154" s="450"/>
      <c r="E154" s="450"/>
      <c r="F154" s="450"/>
      <c r="G154" s="450"/>
      <c r="H154" s="450"/>
      <c r="I154" s="450"/>
    </row>
    <row r="155" spans="8:9" ht="11.25" customHeight="1">
      <c r="H155" s="312"/>
      <c r="I155" s="312"/>
    </row>
    <row r="156" spans="8:9" ht="11.25" customHeight="1">
      <c r="H156" s="312"/>
      <c r="I156" s="312"/>
    </row>
    <row r="188" spans="8:9" ht="11.25" customHeight="1">
      <c r="H188" s="312"/>
      <c r="I188" s="312"/>
    </row>
    <row r="189" spans="8:9" ht="11.25" customHeight="1">
      <c r="H189" s="312"/>
      <c r="I189" s="312"/>
    </row>
    <row r="199" spans="8:9" ht="11.25" customHeight="1">
      <c r="H199" s="312"/>
      <c r="I199" s="312"/>
    </row>
  </sheetData>
  <sheetProtection/>
  <mergeCells count="392">
    <mergeCell ref="B37:C37"/>
    <mergeCell ref="B38:C38"/>
    <mergeCell ref="B28:C28"/>
    <mergeCell ref="B29:C29"/>
    <mergeCell ref="B30:C30"/>
    <mergeCell ref="B31:C31"/>
    <mergeCell ref="B32:C32"/>
    <mergeCell ref="B33:C33"/>
    <mergeCell ref="B34:C34"/>
    <mergeCell ref="B35:C35"/>
    <mergeCell ref="B19:C19"/>
    <mergeCell ref="B36:C36"/>
    <mergeCell ref="B22:C22"/>
    <mergeCell ref="B23:C23"/>
    <mergeCell ref="B24:C24"/>
    <mergeCell ref="B25:C25"/>
    <mergeCell ref="B26:C26"/>
    <mergeCell ref="B27:C27"/>
    <mergeCell ref="F153:G153"/>
    <mergeCell ref="A7:G7"/>
    <mergeCell ref="F150:G150"/>
    <mergeCell ref="B11:C11"/>
    <mergeCell ref="B12:C12"/>
    <mergeCell ref="H148:I148"/>
    <mergeCell ref="H149:I149"/>
    <mergeCell ref="H150:I150"/>
    <mergeCell ref="H151:I151"/>
    <mergeCell ref="B14:C14"/>
    <mergeCell ref="F64:G64"/>
    <mergeCell ref="B20:C20"/>
    <mergeCell ref="B21:C21"/>
    <mergeCell ref="A6:G6"/>
    <mergeCell ref="F151:G151"/>
    <mergeCell ref="F152:G152"/>
    <mergeCell ref="B15:C15"/>
    <mergeCell ref="B16:C16"/>
    <mergeCell ref="B17:C17"/>
    <mergeCell ref="B18:C18"/>
    <mergeCell ref="F48:G48"/>
    <mergeCell ref="B13:C13"/>
    <mergeCell ref="B72:E72"/>
    <mergeCell ref="A1:G1"/>
    <mergeCell ref="A2:G2"/>
    <mergeCell ref="A3:G3"/>
    <mergeCell ref="A4:G4"/>
    <mergeCell ref="A5:G5"/>
    <mergeCell ref="B62:E62"/>
    <mergeCell ref="B64:E64"/>
    <mergeCell ref="B53:C53"/>
    <mergeCell ref="B39:C39"/>
    <mergeCell ref="B40:C40"/>
    <mergeCell ref="B41:C41"/>
    <mergeCell ref="B42:C42"/>
    <mergeCell ref="B50:C50"/>
    <mergeCell ref="B51:C51"/>
    <mergeCell ref="B52:C52"/>
    <mergeCell ref="B43:C43"/>
    <mergeCell ref="B44:C44"/>
    <mergeCell ref="F79:G79"/>
    <mergeCell ref="A143:I143"/>
    <mergeCell ref="A144:I144"/>
    <mergeCell ref="C145:E145"/>
    <mergeCell ref="F145:G145"/>
    <mergeCell ref="B135:E135"/>
    <mergeCell ref="F135:G135"/>
    <mergeCell ref="H135:I135"/>
    <mergeCell ref="B123:C123"/>
    <mergeCell ref="B124:C124"/>
    <mergeCell ref="H7:I7"/>
    <mergeCell ref="A8:I8"/>
    <mergeCell ref="A9:I9"/>
    <mergeCell ref="B10:E10"/>
    <mergeCell ref="F10:G10"/>
    <mergeCell ref="H10:I10"/>
    <mergeCell ref="F49:G49"/>
    <mergeCell ref="F50:G50"/>
    <mergeCell ref="F51:G51"/>
    <mergeCell ref="F52:G52"/>
    <mergeCell ref="H64:I64"/>
    <mergeCell ref="B66:E66"/>
    <mergeCell ref="F66:G66"/>
    <mergeCell ref="H66:I66"/>
    <mergeCell ref="H51:I51"/>
    <mergeCell ref="B60:C60"/>
    <mergeCell ref="B67:I67"/>
    <mergeCell ref="B69:E69"/>
    <mergeCell ref="F69:G69"/>
    <mergeCell ref="H69:I69"/>
    <mergeCell ref="F72:G72"/>
    <mergeCell ref="H72:I72"/>
    <mergeCell ref="B73:C73"/>
    <mergeCell ref="B75:C75"/>
    <mergeCell ref="B74:C74"/>
    <mergeCell ref="F73:G73"/>
    <mergeCell ref="F74:G74"/>
    <mergeCell ref="F75:G75"/>
    <mergeCell ref="B89:C89"/>
    <mergeCell ref="B90:C90"/>
    <mergeCell ref="B91:C91"/>
    <mergeCell ref="B92:C92"/>
    <mergeCell ref="B93:C93"/>
    <mergeCell ref="B94:C94"/>
    <mergeCell ref="F80:G80"/>
    <mergeCell ref="F81:G81"/>
    <mergeCell ref="B80:C80"/>
    <mergeCell ref="B81:C81"/>
    <mergeCell ref="F84:G84"/>
    <mergeCell ref="H84:I84"/>
    <mergeCell ref="B84:E84"/>
    <mergeCell ref="H80:I80"/>
    <mergeCell ref="H81:I81"/>
    <mergeCell ref="A83:I83"/>
    <mergeCell ref="H145:I145"/>
    <mergeCell ref="B137:E137"/>
    <mergeCell ref="F137:G137"/>
    <mergeCell ref="H137:I137"/>
    <mergeCell ref="B139:E139"/>
    <mergeCell ref="F139:G139"/>
    <mergeCell ref="H139:I139"/>
    <mergeCell ref="B140:C140"/>
    <mergeCell ref="B141:C141"/>
    <mergeCell ref="F141:G141"/>
    <mergeCell ref="A154:I154"/>
    <mergeCell ref="A146:A153"/>
    <mergeCell ref="F146:G146"/>
    <mergeCell ref="F147:G147"/>
    <mergeCell ref="F148:G148"/>
    <mergeCell ref="F149:G149"/>
    <mergeCell ref="H152:I152"/>
    <mergeCell ref="H153:I153"/>
    <mergeCell ref="H146:I146"/>
    <mergeCell ref="H147:I147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B57:C57"/>
    <mergeCell ref="F53:G53"/>
    <mergeCell ref="H39:I39"/>
    <mergeCell ref="H40:I40"/>
    <mergeCell ref="F47:G47"/>
    <mergeCell ref="B58:C58"/>
    <mergeCell ref="F54:G54"/>
    <mergeCell ref="B54:C54"/>
    <mergeCell ref="B55:C55"/>
    <mergeCell ref="B56:C56"/>
    <mergeCell ref="F58:G58"/>
    <mergeCell ref="F55:G55"/>
    <mergeCell ref="F40:G40"/>
    <mergeCell ref="F41:G41"/>
    <mergeCell ref="F42:G42"/>
    <mergeCell ref="F43:G43"/>
    <mergeCell ref="H46:I46"/>
    <mergeCell ref="H47:I47"/>
    <mergeCell ref="F46:G46"/>
    <mergeCell ref="F44:G44"/>
    <mergeCell ref="H44:I44"/>
    <mergeCell ref="B61:C61"/>
    <mergeCell ref="B59:C59"/>
    <mergeCell ref="H41:I41"/>
    <mergeCell ref="H42:I42"/>
    <mergeCell ref="H43:I43"/>
    <mergeCell ref="B47:C47"/>
    <mergeCell ref="B48:C48"/>
    <mergeCell ref="B49:C49"/>
    <mergeCell ref="B46:E46"/>
    <mergeCell ref="H55:I55"/>
    <mergeCell ref="F59:G59"/>
    <mergeCell ref="F60:G60"/>
    <mergeCell ref="H60:I60"/>
    <mergeCell ref="H52:I52"/>
    <mergeCell ref="H53:I53"/>
    <mergeCell ref="H54:I54"/>
    <mergeCell ref="H59:I59"/>
    <mergeCell ref="H48:I48"/>
    <mergeCell ref="H49:I49"/>
    <mergeCell ref="H50:I50"/>
    <mergeCell ref="H61:I61"/>
    <mergeCell ref="F61:G61"/>
    <mergeCell ref="F56:G56"/>
    <mergeCell ref="F57:G57"/>
    <mergeCell ref="H56:I56"/>
    <mergeCell ref="H57:I57"/>
    <mergeCell ref="H58:I58"/>
    <mergeCell ref="B79:C79"/>
    <mergeCell ref="B70:C70"/>
    <mergeCell ref="F70:G70"/>
    <mergeCell ref="H70:I70"/>
    <mergeCell ref="H79:I79"/>
    <mergeCell ref="B76:C76"/>
    <mergeCell ref="B78:E78"/>
    <mergeCell ref="F78:G78"/>
    <mergeCell ref="H78:I78"/>
    <mergeCell ref="F76:G76"/>
    <mergeCell ref="H73:I73"/>
    <mergeCell ref="H74:I74"/>
    <mergeCell ref="H75:I75"/>
    <mergeCell ref="H76:I76"/>
    <mergeCell ref="B96:C96"/>
    <mergeCell ref="B97:C97"/>
    <mergeCell ref="B85:C85"/>
    <mergeCell ref="B86:C86"/>
    <mergeCell ref="B87:C87"/>
    <mergeCell ref="B88:C88"/>
    <mergeCell ref="B95:C95"/>
    <mergeCell ref="B115:C115"/>
    <mergeCell ref="B104:C104"/>
    <mergeCell ref="B105:C105"/>
    <mergeCell ref="B106:C106"/>
    <mergeCell ref="B107:C107"/>
    <mergeCell ref="B108:C108"/>
    <mergeCell ref="B109:C109"/>
    <mergeCell ref="B111:C111"/>
    <mergeCell ref="B114:C114"/>
    <mergeCell ref="B113:C113"/>
    <mergeCell ref="B100:C100"/>
    <mergeCell ref="B101:C101"/>
    <mergeCell ref="B110:C110"/>
    <mergeCell ref="F102:G102"/>
    <mergeCell ref="F103:G103"/>
    <mergeCell ref="F104:G104"/>
    <mergeCell ref="B102:C102"/>
    <mergeCell ref="B103:C103"/>
    <mergeCell ref="F109:G109"/>
    <mergeCell ref="F96:G96"/>
    <mergeCell ref="F97:G97"/>
    <mergeCell ref="F98:G98"/>
    <mergeCell ref="F99:G99"/>
    <mergeCell ref="B112:C112"/>
    <mergeCell ref="B98:C98"/>
    <mergeCell ref="B99:C99"/>
    <mergeCell ref="F106:G106"/>
    <mergeCell ref="F107:G107"/>
    <mergeCell ref="F108:G108"/>
    <mergeCell ref="F93:G93"/>
    <mergeCell ref="F105:G105"/>
    <mergeCell ref="F100:G100"/>
    <mergeCell ref="F101:G101"/>
    <mergeCell ref="F85:G85"/>
    <mergeCell ref="F86:G86"/>
    <mergeCell ref="F87:G87"/>
    <mergeCell ref="F88:G88"/>
    <mergeCell ref="F89:G89"/>
    <mergeCell ref="F90:G90"/>
    <mergeCell ref="H91:I91"/>
    <mergeCell ref="H92:I92"/>
    <mergeCell ref="H93:I93"/>
    <mergeCell ref="F110:G110"/>
    <mergeCell ref="F111:G111"/>
    <mergeCell ref="F112:G112"/>
    <mergeCell ref="F94:G94"/>
    <mergeCell ref="F95:G95"/>
    <mergeCell ref="F91:G91"/>
    <mergeCell ref="F92:G92"/>
    <mergeCell ref="H85:I85"/>
    <mergeCell ref="H86:I86"/>
    <mergeCell ref="H87:I87"/>
    <mergeCell ref="H88:I88"/>
    <mergeCell ref="H89:I89"/>
    <mergeCell ref="H90:I90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F115:G115"/>
    <mergeCell ref="H106:I106"/>
    <mergeCell ref="H107:I107"/>
    <mergeCell ref="H108:I108"/>
    <mergeCell ref="H109:I109"/>
    <mergeCell ref="H110:I110"/>
    <mergeCell ref="H111:I111"/>
    <mergeCell ref="F119:G119"/>
    <mergeCell ref="H119:I119"/>
    <mergeCell ref="H112:I112"/>
    <mergeCell ref="H113:I113"/>
    <mergeCell ref="H114:I114"/>
    <mergeCell ref="H115:I115"/>
    <mergeCell ref="H116:I116"/>
    <mergeCell ref="F116:G116"/>
    <mergeCell ref="F113:G113"/>
    <mergeCell ref="F114:G114"/>
    <mergeCell ref="B125:C125"/>
    <mergeCell ref="B126:C126"/>
    <mergeCell ref="B121:C121"/>
    <mergeCell ref="B122:C122"/>
    <mergeCell ref="B116:C116"/>
    <mergeCell ref="B119:D119"/>
    <mergeCell ref="B120:C120"/>
    <mergeCell ref="B130:C130"/>
    <mergeCell ref="B131:C131"/>
    <mergeCell ref="F127:G127"/>
    <mergeCell ref="F128:G128"/>
    <mergeCell ref="F129:G129"/>
    <mergeCell ref="F130:G130"/>
    <mergeCell ref="F131:G131"/>
    <mergeCell ref="B127:C127"/>
    <mergeCell ref="B128:C128"/>
    <mergeCell ref="B129:C129"/>
    <mergeCell ref="H120:I120"/>
    <mergeCell ref="B132:C132"/>
    <mergeCell ref="B133:C133"/>
    <mergeCell ref="B134:C134"/>
    <mergeCell ref="F120:G120"/>
    <mergeCell ref="F121:G121"/>
    <mergeCell ref="F122:G122"/>
    <mergeCell ref="F123:G123"/>
    <mergeCell ref="F124:G124"/>
    <mergeCell ref="F125:G125"/>
    <mergeCell ref="F126:G126"/>
    <mergeCell ref="F132:G132"/>
    <mergeCell ref="H126:I126"/>
    <mergeCell ref="H127:I127"/>
    <mergeCell ref="H129:I129"/>
    <mergeCell ref="H130:I130"/>
    <mergeCell ref="H131:I131"/>
    <mergeCell ref="H124:I124"/>
    <mergeCell ref="H125:I125"/>
    <mergeCell ref="H141:I141"/>
    <mergeCell ref="H132:I132"/>
    <mergeCell ref="H133:I133"/>
    <mergeCell ref="H134:I134"/>
    <mergeCell ref="H62:I62"/>
    <mergeCell ref="F62:G62"/>
    <mergeCell ref="F140:G140"/>
    <mergeCell ref="F133:G133"/>
    <mergeCell ref="F134:G134"/>
    <mergeCell ref="H140:I140"/>
    <mergeCell ref="H121:I121"/>
    <mergeCell ref="H122:I122"/>
    <mergeCell ref="H123:I123"/>
    <mergeCell ref="H128:I128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3.421875" style="0" bestFit="1" customWidth="1"/>
    <col min="7" max="7" width="16.140625" style="0" customWidth="1"/>
  </cols>
  <sheetData>
    <row r="1" spans="1:7" ht="12.75">
      <c r="A1" s="484" t="str">
        <f>Parâmetros!A7</f>
        <v>Município de Balneário Pinhal</v>
      </c>
      <c r="B1" s="412"/>
      <c r="C1" s="412"/>
      <c r="D1" s="412"/>
      <c r="E1" s="412"/>
      <c r="F1" s="413"/>
      <c r="G1" s="103"/>
    </row>
    <row r="2" spans="1:7" ht="12.75">
      <c r="A2" s="405" t="s">
        <v>36</v>
      </c>
      <c r="B2" s="406"/>
      <c r="C2" s="406"/>
      <c r="D2" s="406"/>
      <c r="E2" s="406"/>
      <c r="F2" s="407"/>
      <c r="G2" s="12"/>
    </row>
    <row r="3" spans="1:7" ht="12.75">
      <c r="A3" s="411" t="str">
        <f>'Metas Cons'!A3:M3</f>
        <v>ANEXO DE METAS FISCAIS</v>
      </c>
      <c r="B3" s="412"/>
      <c r="C3" s="412"/>
      <c r="D3" s="412"/>
      <c r="E3" s="412"/>
      <c r="F3" s="413"/>
      <c r="G3" s="103"/>
    </row>
    <row r="4" spans="1:7" ht="12.75">
      <c r="A4" s="402" t="s">
        <v>541</v>
      </c>
      <c r="B4" s="403"/>
      <c r="C4" s="403"/>
      <c r="D4" s="403"/>
      <c r="E4" s="403"/>
      <c r="F4" s="404"/>
      <c r="G4" s="103"/>
    </row>
    <row r="5" spans="1:7" ht="12.75">
      <c r="A5" s="405" t="s">
        <v>439</v>
      </c>
      <c r="B5" s="406"/>
      <c r="C5" s="406"/>
      <c r="D5" s="406"/>
      <c r="E5" s="406"/>
      <c r="F5" s="407"/>
      <c r="G5" s="12"/>
    </row>
    <row r="6" spans="1:7" ht="13.5" thickBot="1">
      <c r="A6" s="816"/>
      <c r="B6" s="817"/>
      <c r="C6" s="817"/>
      <c r="D6" s="817"/>
      <c r="E6" s="817"/>
      <c r="F6" s="818"/>
      <c r="G6" s="103"/>
    </row>
    <row r="7" spans="1:7" s="45" customFormat="1" ht="11.25" customHeight="1">
      <c r="A7" s="821" t="s">
        <v>544</v>
      </c>
      <c r="B7" s="822"/>
      <c r="C7" s="822"/>
      <c r="D7" s="822"/>
      <c r="E7" s="822"/>
      <c r="F7" s="823"/>
      <c r="G7" s="824">
        <v>1</v>
      </c>
    </row>
    <row r="8" spans="1:7" s="46" customFormat="1" ht="11.25" customHeight="1">
      <c r="A8" s="825" t="s">
        <v>170</v>
      </c>
      <c r="B8" s="806" t="s">
        <v>171</v>
      </c>
      <c r="C8" s="807" t="s">
        <v>172</v>
      </c>
      <c r="D8" s="806" t="s">
        <v>109</v>
      </c>
      <c r="E8" s="808"/>
      <c r="F8" s="805"/>
      <c r="G8" s="826" t="s">
        <v>110</v>
      </c>
    </row>
    <row r="9" spans="1:7" s="46" customFormat="1" ht="11.25" customHeight="1">
      <c r="A9" s="827"/>
      <c r="B9" s="809"/>
      <c r="C9" s="810"/>
      <c r="D9" s="811"/>
      <c r="E9" s="812"/>
      <c r="F9" s="813"/>
      <c r="G9" s="828"/>
    </row>
    <row r="10" spans="1:7" s="45" customFormat="1" ht="24" customHeight="1">
      <c r="A10" s="829"/>
      <c r="B10" s="811"/>
      <c r="C10" s="814"/>
      <c r="D10" s="815">
        <v>2018</v>
      </c>
      <c r="E10" s="815">
        <f>D10+1</f>
        <v>2019</v>
      </c>
      <c r="F10" s="815">
        <f>E10+1</f>
        <v>2020</v>
      </c>
      <c r="G10" s="830"/>
    </row>
    <row r="11" spans="1:7" s="45" customFormat="1" ht="26.25" customHeight="1">
      <c r="A11" s="831" t="s">
        <v>1552</v>
      </c>
      <c r="B11" s="313" t="s">
        <v>1553</v>
      </c>
      <c r="C11" s="190"/>
      <c r="D11" s="191">
        <v>367598.8</v>
      </c>
      <c r="E11" s="191">
        <f>D11*(1+B24)</f>
        <v>383221.74899999995</v>
      </c>
      <c r="F11" s="191">
        <f>E11*(1+B25)</f>
        <v>398972.16288389993</v>
      </c>
      <c r="G11" s="840" t="s">
        <v>1564</v>
      </c>
    </row>
    <row r="12" spans="1:7" s="45" customFormat="1" ht="25.5" customHeight="1">
      <c r="A12" s="831" t="s">
        <v>1554</v>
      </c>
      <c r="B12" s="313" t="s">
        <v>1555</v>
      </c>
      <c r="C12" s="313"/>
      <c r="D12" s="191">
        <v>800000</v>
      </c>
      <c r="E12" s="191">
        <f>D12*(1+B24)</f>
        <v>834000</v>
      </c>
      <c r="F12" s="191">
        <f>E12*(1+B25)</f>
        <v>868277.3999999999</v>
      </c>
      <c r="G12" s="832"/>
    </row>
    <row r="13" spans="1:7" s="45" customFormat="1" ht="15.75" customHeight="1">
      <c r="A13" s="833"/>
      <c r="B13" s="190"/>
      <c r="C13" s="190"/>
      <c r="D13" s="191"/>
      <c r="E13" s="191">
        <f>D13*(1+B24)</f>
        <v>0</v>
      </c>
      <c r="F13" s="191">
        <f>E13*(1+B25)</f>
        <v>0</v>
      </c>
      <c r="G13" s="834" t="s">
        <v>174</v>
      </c>
    </row>
    <row r="14" spans="1:7" s="45" customFormat="1" ht="11.25" customHeight="1">
      <c r="A14" s="833"/>
      <c r="B14" s="190"/>
      <c r="C14" s="190"/>
      <c r="D14" s="191"/>
      <c r="E14" s="191">
        <f>D14*(1+B24)</f>
        <v>0</v>
      </c>
      <c r="F14" s="191">
        <f>E14*(1+B25)</f>
        <v>0</v>
      </c>
      <c r="G14" s="834"/>
    </row>
    <row r="15" spans="1:7" s="45" customFormat="1" ht="11.25" customHeight="1">
      <c r="A15" s="833"/>
      <c r="B15" s="190"/>
      <c r="C15" s="190"/>
      <c r="D15" s="191"/>
      <c r="E15" s="191">
        <f>D15*(1+B24)</f>
        <v>0</v>
      </c>
      <c r="F15" s="191">
        <f>E15*(1+B25)</f>
        <v>0</v>
      </c>
      <c r="G15" s="834"/>
    </row>
    <row r="16" spans="1:7" s="45" customFormat="1" ht="11.25" customHeight="1">
      <c r="A16" s="833"/>
      <c r="B16" s="190"/>
      <c r="C16" s="190"/>
      <c r="D16" s="191"/>
      <c r="E16" s="191">
        <f>D16*(1+B24)</f>
        <v>0</v>
      </c>
      <c r="F16" s="191">
        <f>E16*(1+B25)</f>
        <v>0</v>
      </c>
      <c r="G16" s="834"/>
    </row>
    <row r="17" spans="1:7" s="45" customFormat="1" ht="11.25" customHeight="1" thickBot="1">
      <c r="A17" s="833"/>
      <c r="B17" s="190"/>
      <c r="C17" s="190"/>
      <c r="D17" s="191"/>
      <c r="E17" s="191">
        <f>D17*(1+B24)</f>
        <v>0</v>
      </c>
      <c r="F17" s="191">
        <f>E17*(1+B25)</f>
        <v>0</v>
      </c>
      <c r="G17" s="834"/>
    </row>
    <row r="18" spans="1:7" s="45" customFormat="1" ht="17.25" customHeight="1" thickBot="1">
      <c r="A18" s="835" t="s">
        <v>92</v>
      </c>
      <c r="B18" s="836"/>
      <c r="C18" s="837"/>
      <c r="D18" s="838">
        <f>SUM(D11:D17)</f>
        <v>1167598.8</v>
      </c>
      <c r="E18" s="838">
        <f>SUM(E11:E17)</f>
        <v>1217221.7489999998</v>
      </c>
      <c r="F18" s="838">
        <f>SUM(F11:F17)</f>
        <v>1267249.5628838998</v>
      </c>
      <c r="G18" s="839" t="s">
        <v>173</v>
      </c>
    </row>
    <row r="19" spans="1:7" s="45" customFormat="1" ht="11.25" customHeight="1">
      <c r="A19" s="819" t="s">
        <v>230</v>
      </c>
      <c r="B19" s="820"/>
      <c r="C19" s="820"/>
      <c r="D19" s="820"/>
      <c r="E19" s="820"/>
      <c r="F19" s="820"/>
      <c r="G19" s="820"/>
    </row>
    <row r="20" spans="1:6" ht="12.75">
      <c r="A20" s="12" t="s">
        <v>532</v>
      </c>
      <c r="B20" s="47"/>
      <c r="C20" s="47"/>
      <c r="D20" s="47"/>
      <c r="E20" s="47"/>
      <c r="F20" s="47"/>
    </row>
    <row r="21" ht="12.75">
      <c r="A21" t="s">
        <v>146</v>
      </c>
    </row>
    <row r="22" ht="12.75">
      <c r="A22" s="12" t="s">
        <v>538</v>
      </c>
    </row>
    <row r="23" ht="12.75">
      <c r="A23" t="s">
        <v>149</v>
      </c>
    </row>
    <row r="24" spans="1:2" ht="12.75">
      <c r="A24" s="12" t="s">
        <v>233</v>
      </c>
      <c r="B24" s="42">
        <f>Parâmetros!F11</f>
        <v>0.0425</v>
      </c>
    </row>
    <row r="25" spans="1:2" ht="12.75">
      <c r="A25" s="12" t="s">
        <v>445</v>
      </c>
      <c r="B25" s="42">
        <f>Parâmetros!G11</f>
        <v>0.0411</v>
      </c>
    </row>
    <row r="26" ht="12.75">
      <c r="B26" s="42"/>
    </row>
  </sheetData>
  <sheetProtection/>
  <mergeCells count="13">
    <mergeCell ref="A18:C18"/>
    <mergeCell ref="A5:F5"/>
    <mergeCell ref="A6:F6"/>
    <mergeCell ref="A8:A10"/>
    <mergeCell ref="B8:B10"/>
    <mergeCell ref="C8:C10"/>
    <mergeCell ref="D8:F9"/>
    <mergeCell ref="G8:G10"/>
    <mergeCell ref="G11:G12"/>
    <mergeCell ref="A1:F1"/>
    <mergeCell ref="A2:F2"/>
    <mergeCell ref="A3:F3"/>
    <mergeCell ref="A4:F4"/>
  </mergeCells>
  <printOptions/>
  <pageMargins left="0.787401575" right="0.787401575" top="0.984251969" bottom="0.984251969" header="0.492125985" footer="0.492125985"/>
  <pageSetup horizontalDpi="300" verticalDpi="300" orientation="portrait" scale="8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2:B32"/>
  <sheetViews>
    <sheetView zoomScale="90" zoomScaleNormal="90" zoomScalePageLayoutView="0" workbookViewId="0" topLeftCell="A25">
      <selection activeCell="A8" sqref="A8:B23"/>
    </sheetView>
  </sheetViews>
  <sheetFormatPr defaultColWidth="9.140625" defaultRowHeight="12.75"/>
  <cols>
    <col min="1" max="1" width="46.421875" style="12" customWidth="1"/>
    <col min="2" max="2" width="47.57421875" style="12" customWidth="1"/>
    <col min="3" max="16384" width="9.140625" style="12" customWidth="1"/>
  </cols>
  <sheetData>
    <row r="1" ht="12.75"/>
    <row r="2" spans="1:2" ht="15">
      <c r="A2" s="417" t="s">
        <v>563</v>
      </c>
      <c r="B2" s="419"/>
    </row>
    <row r="3" spans="1:2" ht="14.25">
      <c r="A3" s="414" t="s">
        <v>36</v>
      </c>
      <c r="B3" s="416"/>
    </row>
    <row r="4" spans="1:2" ht="14.25">
      <c r="A4" s="414" t="str">
        <f>'Metas Cons'!A3:M3</f>
        <v>ANEXO DE METAS FISCAIS</v>
      </c>
      <c r="B4" s="416"/>
    </row>
    <row r="5" spans="1:2" ht="15">
      <c r="A5" s="374" t="s">
        <v>575</v>
      </c>
      <c r="B5" s="419"/>
    </row>
    <row r="6" spans="1:2" ht="14.25">
      <c r="A6" s="414" t="s">
        <v>439</v>
      </c>
      <c r="B6" s="416"/>
    </row>
    <row r="7" spans="1:2" ht="14.25">
      <c r="A7" s="414"/>
      <c r="B7" s="416"/>
    </row>
    <row r="8" spans="1:2" ht="30">
      <c r="A8" s="192" t="s">
        <v>543</v>
      </c>
      <c r="B8" s="193">
        <v>1</v>
      </c>
    </row>
    <row r="9" spans="1:2" s="13" customFormat="1" ht="25.5" customHeight="1">
      <c r="A9" s="788" t="s">
        <v>111</v>
      </c>
      <c r="B9" s="789" t="s">
        <v>446</v>
      </c>
    </row>
    <row r="10" spans="1:2" ht="15">
      <c r="A10" s="841" t="s">
        <v>112</v>
      </c>
      <c r="B10" s="842">
        <f>(B11+B12)</f>
        <v>-1806193.479937451</v>
      </c>
    </row>
    <row r="11" spans="1:2" ht="14.25">
      <c r="A11" s="791" t="s">
        <v>142</v>
      </c>
      <c r="B11" s="195">
        <f>(Projeções!G9/(1+Parâmetros!E11))-(Projeções!F9*(1+Parâmetros!D11))</f>
        <v>-696740.7040564511</v>
      </c>
    </row>
    <row r="12" spans="1:2" ht="14.25">
      <c r="A12" s="791" t="s">
        <v>143</v>
      </c>
      <c r="B12" s="195">
        <f>(Projeções!G37/(1+Parâmetros!E11))-(Projeções!F37*(1+Parâmetros!D11))</f>
        <v>-1109452.7758809999</v>
      </c>
    </row>
    <row r="13" spans="1:2" ht="14.25">
      <c r="A13" s="791" t="s">
        <v>198</v>
      </c>
      <c r="B13" s="195">
        <v>0</v>
      </c>
    </row>
    <row r="14" spans="1:2" ht="14.25">
      <c r="A14" s="793" t="s">
        <v>151</v>
      </c>
      <c r="B14" s="195">
        <f>(Projeções!G94/(1+Parâmetros!E11)-(Projeções!F94*(1+Parâmetros!D11)))</f>
        <v>634485.6781466971</v>
      </c>
    </row>
    <row r="15" spans="1:2" ht="30">
      <c r="A15" s="843" t="s">
        <v>113</v>
      </c>
      <c r="B15" s="844">
        <f>B10+B14</f>
        <v>-1171707.8017907538</v>
      </c>
    </row>
    <row r="16" spans="1:2" ht="14.25">
      <c r="A16" s="793" t="s">
        <v>114</v>
      </c>
      <c r="B16" s="194">
        <v>0</v>
      </c>
    </row>
    <row r="17" spans="1:2" ht="15">
      <c r="A17" s="793" t="s">
        <v>115</v>
      </c>
      <c r="B17" s="844">
        <f>B15+B16</f>
        <v>-1171707.8017907538</v>
      </c>
    </row>
    <row r="18" spans="1:2" ht="14.25">
      <c r="A18" s="791" t="s">
        <v>116</v>
      </c>
      <c r="B18" s="195"/>
    </row>
    <row r="19" spans="1:2" ht="15">
      <c r="A19" s="843" t="s">
        <v>195</v>
      </c>
      <c r="B19" s="844">
        <f>B20+B21</f>
        <v>285506.0028334446</v>
      </c>
    </row>
    <row r="20" spans="1:2" ht="14.25">
      <c r="A20" s="793" t="s">
        <v>144</v>
      </c>
      <c r="B20" s="195">
        <f>Projeções!G107/(1+Parâmetros!E11)-(Projeções!F107*(1+Parâmetros!D11))</f>
        <v>-161243.74121213332</v>
      </c>
    </row>
    <row r="21" spans="1:2" ht="14.25">
      <c r="A21" s="793" t="s">
        <v>145</v>
      </c>
      <c r="B21" s="195">
        <f>Projeções!G115/(1+Parâmetros!E11)-Projeções!F115*(1+Parâmetros!D11)</f>
        <v>446749.74404557794</v>
      </c>
    </row>
    <row r="22" spans="1:2" ht="15">
      <c r="A22" s="843" t="s">
        <v>196</v>
      </c>
      <c r="B22" s="195">
        <v>0</v>
      </c>
    </row>
    <row r="23" spans="1:2" ht="35.25" customHeight="1">
      <c r="A23" s="843" t="s">
        <v>197</v>
      </c>
      <c r="B23" s="845" t="str">
        <f>IF(B17-B18-B19&lt;0,"SEM MARGEM",B17-B18-B19)</f>
        <v>SEM MARGEM</v>
      </c>
    </row>
    <row r="24" spans="1:2" ht="15">
      <c r="A24" s="485" t="s">
        <v>228</v>
      </c>
      <c r="B24" s="486"/>
    </row>
    <row r="25" ht="12.75">
      <c r="A25" s="7"/>
    </row>
    <row r="26" spans="1:2" ht="12.75">
      <c r="A26" s="60"/>
      <c r="B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</sheetData>
  <sheetProtection/>
  <mergeCells count="7">
    <mergeCell ref="A2:B2"/>
    <mergeCell ref="A3:B3"/>
    <mergeCell ref="A24:B24"/>
    <mergeCell ref="A4:B4"/>
    <mergeCell ref="A5:B5"/>
    <mergeCell ref="A6:B6"/>
    <mergeCell ref="A7:B7"/>
  </mergeCells>
  <printOptions/>
  <pageMargins left="0.787401575" right="0.787401575" top="0.984251969" bottom="0.984251969" header="0.492125985" footer="0.492125985"/>
  <pageSetup horizontalDpi="300" verticalDpi="3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41.00390625" style="61" customWidth="1"/>
    <col min="2" max="2" width="44.7109375" style="61" customWidth="1"/>
    <col min="3" max="16384" width="9.140625" style="61" customWidth="1"/>
  </cols>
  <sheetData>
    <row r="1" spans="1:2" ht="30.75" customHeight="1">
      <c r="A1" s="489" t="s">
        <v>563</v>
      </c>
      <c r="B1" s="389"/>
    </row>
    <row r="2" spans="1:2" ht="14.25">
      <c r="A2" s="383" t="s">
        <v>36</v>
      </c>
      <c r="B2" s="385"/>
    </row>
    <row r="3" spans="1:2" ht="14.25">
      <c r="A3" s="383" t="str">
        <f>'Metas Cons'!A3:M3</f>
        <v>ANEXO DE METAS FISCAIS</v>
      </c>
      <c r="B3" s="385"/>
    </row>
    <row r="4" spans="1:2" ht="15">
      <c r="A4" s="387" t="s">
        <v>542</v>
      </c>
      <c r="B4" s="389"/>
    </row>
    <row r="5" spans="1:2" ht="14.25">
      <c r="A5" s="383" t="s">
        <v>439</v>
      </c>
      <c r="B5" s="385"/>
    </row>
    <row r="6" spans="1:2" ht="14.25">
      <c r="A6" s="383"/>
      <c r="B6" s="385"/>
    </row>
    <row r="7" spans="1:2" ht="28.5">
      <c r="A7" s="109" t="s">
        <v>543</v>
      </c>
      <c r="B7" s="112">
        <v>1</v>
      </c>
    </row>
    <row r="8" spans="1:2" s="62" customFormat="1" ht="25.5" customHeight="1">
      <c r="A8" s="113" t="s">
        <v>111</v>
      </c>
      <c r="B8" s="196" t="s">
        <v>446</v>
      </c>
    </row>
    <row r="9" spans="1:2" ht="15">
      <c r="A9" s="197" t="s">
        <v>112</v>
      </c>
      <c r="B9" s="198"/>
    </row>
    <row r="10" spans="1:2" ht="14.25">
      <c r="A10" s="199" t="s">
        <v>142</v>
      </c>
      <c r="B10" s="200"/>
    </row>
    <row r="11" spans="1:2" ht="28.5">
      <c r="A11" s="199" t="s">
        <v>143</v>
      </c>
      <c r="B11" s="200"/>
    </row>
    <row r="12" spans="1:2" ht="14.25">
      <c r="A12" s="201" t="s">
        <v>151</v>
      </c>
      <c r="B12" s="200"/>
    </row>
    <row r="13" spans="1:2" ht="30">
      <c r="A13" s="202" t="s">
        <v>113</v>
      </c>
      <c r="B13" s="203"/>
    </row>
    <row r="14" spans="1:2" ht="14.25">
      <c r="A14" s="201" t="s">
        <v>114</v>
      </c>
      <c r="B14" s="204"/>
    </row>
    <row r="15" spans="1:2" ht="15">
      <c r="A15" s="201" t="s">
        <v>115</v>
      </c>
      <c r="B15" s="203"/>
    </row>
    <row r="16" spans="1:2" ht="14.25">
      <c r="A16" s="199" t="s">
        <v>116</v>
      </c>
      <c r="B16" s="200"/>
    </row>
    <row r="17" spans="1:2" ht="15">
      <c r="A17" s="202" t="s">
        <v>117</v>
      </c>
      <c r="B17" s="203"/>
    </row>
    <row r="18" spans="1:2" ht="28.5">
      <c r="A18" s="201" t="s">
        <v>144</v>
      </c>
      <c r="B18" s="200"/>
    </row>
    <row r="19" spans="1:2" ht="28.5">
      <c r="A19" s="201" t="s">
        <v>145</v>
      </c>
      <c r="B19" s="200"/>
    </row>
    <row r="20" spans="1:2" ht="30">
      <c r="A20" s="202" t="s">
        <v>118</v>
      </c>
      <c r="B20" s="205">
        <f>IF(B15-B16-B17&lt;0,"SEM MARGEM",B15-B16-B17)</f>
        <v>0</v>
      </c>
    </row>
    <row r="21" spans="1:2" ht="11.25">
      <c r="A21" s="487" t="s">
        <v>128</v>
      </c>
      <c r="B21" s="488"/>
    </row>
    <row r="22" ht="11.25">
      <c r="A22" s="63"/>
    </row>
    <row r="23" spans="1:2" ht="11.25">
      <c r="A23" s="64"/>
      <c r="B23" s="64"/>
    </row>
    <row r="24" ht="11.25">
      <c r="A24" s="64"/>
    </row>
    <row r="25" ht="11.25">
      <c r="A25" s="64"/>
    </row>
    <row r="26" ht="11.25">
      <c r="A26" s="64"/>
    </row>
    <row r="27" ht="11.25">
      <c r="A27" s="64"/>
    </row>
    <row r="28" ht="11.25">
      <c r="A28" s="64"/>
    </row>
    <row r="29" ht="11.25">
      <c r="A29" s="64"/>
    </row>
  </sheetData>
  <sheetProtection/>
  <mergeCells count="7">
    <mergeCell ref="A5:B5"/>
    <mergeCell ref="A6:B6"/>
    <mergeCell ref="A21:B21"/>
    <mergeCell ref="A1:B1"/>
    <mergeCell ref="A2:B2"/>
    <mergeCell ref="A3:B3"/>
    <mergeCell ref="A4:B4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22">
      <selection activeCell="A7" sqref="A7:D25"/>
    </sheetView>
  </sheetViews>
  <sheetFormatPr defaultColWidth="9.140625" defaultRowHeight="12.75"/>
  <cols>
    <col min="1" max="1" width="38.8515625" style="12" customWidth="1"/>
    <col min="2" max="2" width="18.421875" style="12" bestFit="1" customWidth="1"/>
    <col min="3" max="3" width="36.8515625" style="12" customWidth="1"/>
    <col min="4" max="4" width="15.7109375" style="12" customWidth="1"/>
    <col min="5" max="5" width="9.140625" style="12" customWidth="1"/>
  </cols>
  <sheetData>
    <row r="1" spans="1:4" ht="27" customHeight="1">
      <c r="A1" s="492" t="s">
        <v>563</v>
      </c>
      <c r="B1" s="493"/>
      <c r="C1" s="493"/>
      <c r="D1" s="493"/>
    </row>
    <row r="2" spans="1:4" ht="14.25">
      <c r="A2" s="490" t="s">
        <v>36</v>
      </c>
      <c r="B2" s="490"/>
      <c r="C2" s="490"/>
      <c r="D2" s="490"/>
    </row>
    <row r="3" spans="1:4" ht="14.25">
      <c r="A3" s="490" t="s">
        <v>177</v>
      </c>
      <c r="B3" s="490"/>
      <c r="C3" s="490"/>
      <c r="D3" s="490"/>
    </row>
    <row r="4" spans="1:4" ht="15">
      <c r="A4" s="493" t="s">
        <v>578</v>
      </c>
      <c r="B4" s="493"/>
      <c r="C4" s="493"/>
      <c r="D4" s="493"/>
    </row>
    <row r="5" spans="1:4" ht="14.25">
      <c r="A5" s="490" t="s">
        <v>439</v>
      </c>
      <c r="B5" s="490"/>
      <c r="C5" s="490"/>
      <c r="D5" s="490"/>
    </row>
    <row r="6" spans="1:4" ht="14.25">
      <c r="A6" s="491"/>
      <c r="B6" s="491"/>
      <c r="C6" s="491"/>
      <c r="D6" s="491"/>
    </row>
    <row r="7" spans="1:4" ht="14.25">
      <c r="A7" s="848" t="s">
        <v>548</v>
      </c>
      <c r="B7" s="848"/>
      <c r="C7" s="849">
        <v>1</v>
      </c>
      <c r="D7" s="849"/>
    </row>
    <row r="8" spans="1:4" ht="15">
      <c r="A8" s="850" t="s">
        <v>178</v>
      </c>
      <c r="B8" s="850"/>
      <c r="C8" s="850" t="s">
        <v>119</v>
      </c>
      <c r="D8" s="850"/>
    </row>
    <row r="9" spans="1:4" ht="15">
      <c r="A9" s="623" t="s">
        <v>120</v>
      </c>
      <c r="B9" s="623" t="s">
        <v>60</v>
      </c>
      <c r="C9" s="623" t="s">
        <v>120</v>
      </c>
      <c r="D9" s="623" t="s">
        <v>60</v>
      </c>
    </row>
    <row r="10" spans="1:4" ht="27.75" customHeight="1">
      <c r="A10" s="846" t="s">
        <v>179</v>
      </c>
      <c r="B10" s="851">
        <v>100000</v>
      </c>
      <c r="C10" s="846" t="s">
        <v>576</v>
      </c>
      <c r="D10" s="851">
        <v>100000</v>
      </c>
    </row>
    <row r="11" spans="1:4" ht="28.5">
      <c r="A11" s="846" t="s">
        <v>180</v>
      </c>
      <c r="B11" s="851"/>
      <c r="C11" s="846"/>
      <c r="D11" s="851"/>
    </row>
    <row r="12" spans="1:4" ht="14.25">
      <c r="A12" s="846" t="s">
        <v>181</v>
      </c>
      <c r="B12" s="851"/>
      <c r="C12" s="846"/>
      <c r="D12" s="851"/>
    </row>
    <row r="13" spans="1:4" ht="14.25">
      <c r="A13" s="846" t="s">
        <v>182</v>
      </c>
      <c r="B13" s="851"/>
      <c r="C13" s="846"/>
      <c r="D13" s="851"/>
    </row>
    <row r="14" spans="1:4" ht="14.25">
      <c r="A14" s="846" t="s">
        <v>183</v>
      </c>
      <c r="B14" s="851"/>
      <c r="C14" s="846"/>
      <c r="D14" s="851"/>
    </row>
    <row r="15" spans="1:4" ht="14.25">
      <c r="A15" s="846" t="s">
        <v>184</v>
      </c>
      <c r="B15" s="851"/>
      <c r="C15" s="846"/>
      <c r="D15" s="851"/>
    </row>
    <row r="16" spans="1:4" ht="15">
      <c r="A16" s="847" t="s">
        <v>185</v>
      </c>
      <c r="B16" s="852">
        <f>SUM(B10:B15)</f>
        <v>100000</v>
      </c>
      <c r="C16" s="623" t="s">
        <v>185</v>
      </c>
      <c r="D16" s="853">
        <f>SUM(D10:D15)</f>
        <v>100000</v>
      </c>
    </row>
    <row r="17" spans="1:4" ht="14.25">
      <c r="A17" s="854"/>
      <c r="B17" s="854"/>
      <c r="C17" s="855"/>
      <c r="D17" s="856"/>
    </row>
    <row r="18" spans="1:4" ht="15">
      <c r="A18" s="857" t="s">
        <v>186</v>
      </c>
      <c r="B18" s="857"/>
      <c r="C18" s="850" t="s">
        <v>119</v>
      </c>
      <c r="D18" s="850"/>
    </row>
    <row r="19" spans="1:4" ht="15">
      <c r="A19" s="623" t="s">
        <v>120</v>
      </c>
      <c r="B19" s="623" t="s">
        <v>60</v>
      </c>
      <c r="C19" s="623" t="s">
        <v>120</v>
      </c>
      <c r="D19" s="623" t="s">
        <v>60</v>
      </c>
    </row>
    <row r="20" spans="1:4" ht="15.75" customHeight="1">
      <c r="A20" s="846" t="s">
        <v>187</v>
      </c>
      <c r="B20" s="851">
        <v>250000</v>
      </c>
      <c r="C20" s="846" t="s">
        <v>577</v>
      </c>
      <c r="D20" s="851">
        <v>150000</v>
      </c>
    </row>
    <row r="21" spans="1:4" ht="14.25">
      <c r="A21" s="846" t="s">
        <v>188</v>
      </c>
      <c r="B21" s="851"/>
      <c r="C21" s="846"/>
      <c r="D21" s="851"/>
    </row>
    <row r="22" spans="1:4" ht="14.25">
      <c r="A22" s="846" t="s">
        <v>189</v>
      </c>
      <c r="B22" s="851"/>
      <c r="C22" s="846"/>
      <c r="D22" s="851"/>
    </row>
    <row r="23" spans="1:4" ht="14.25">
      <c r="A23" s="846" t="s">
        <v>190</v>
      </c>
      <c r="B23" s="851"/>
      <c r="C23" s="846"/>
      <c r="D23" s="851"/>
    </row>
    <row r="24" spans="1:4" ht="14.25">
      <c r="A24" s="846" t="s">
        <v>185</v>
      </c>
      <c r="B24" s="851">
        <f>SUM(B20:B23)</f>
        <v>250000</v>
      </c>
      <c r="C24" s="846" t="s">
        <v>185</v>
      </c>
      <c r="D24" s="851">
        <f>SUM(D20:D23)</f>
        <v>150000</v>
      </c>
    </row>
    <row r="25" spans="1:4" ht="15">
      <c r="A25" s="623" t="s">
        <v>92</v>
      </c>
      <c r="B25" s="853">
        <f>B16+B24</f>
        <v>350000</v>
      </c>
      <c r="C25" s="623" t="s">
        <v>92</v>
      </c>
      <c r="D25" s="853">
        <f>D16+D24</f>
        <v>250000</v>
      </c>
    </row>
  </sheetData>
  <sheetProtection/>
  <mergeCells count="14">
    <mergeCell ref="A7:B7"/>
    <mergeCell ref="C7:D7"/>
    <mergeCell ref="A18:B18"/>
    <mergeCell ref="C18:D18"/>
    <mergeCell ref="A8:B8"/>
    <mergeCell ref="C8:D8"/>
    <mergeCell ref="A17:B17"/>
    <mergeCell ref="C17:D17"/>
    <mergeCell ref="A5:D5"/>
    <mergeCell ref="A6:D6"/>
    <mergeCell ref="A1:D1"/>
    <mergeCell ref="A2:D2"/>
    <mergeCell ref="A3:D3"/>
    <mergeCell ref="A4:D4"/>
  </mergeCells>
  <printOptions/>
  <pageMargins left="0.787401575" right="0.787401575" top="0.984251969" bottom="0.984251969" header="0.492125985" footer="0.492125985"/>
  <pageSetup horizontalDpi="600" verticalDpi="600" orientation="landscape" paperSize="9" scale="8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583"/>
  <sheetViews>
    <sheetView zoomScalePageLayoutView="0" workbookViewId="0" topLeftCell="A549">
      <selection activeCell="E559" sqref="E559:E572"/>
    </sheetView>
  </sheetViews>
  <sheetFormatPr defaultColWidth="9.140625" defaultRowHeight="12.75"/>
  <cols>
    <col min="2" max="2" width="50.00390625" style="0" customWidth="1"/>
    <col min="3" max="3" width="9.8515625" style="0" customWidth="1"/>
    <col min="4" max="4" width="12.00390625" style="0" customWidth="1"/>
    <col min="5" max="5" width="20.28125" style="0" customWidth="1"/>
    <col min="10" max="10" width="11.7109375" style="0" bestFit="1" customWidth="1"/>
  </cols>
  <sheetData>
    <row r="2" spans="1:5" ht="16.5" thickBot="1">
      <c r="A2" s="508" t="s">
        <v>563</v>
      </c>
      <c r="B2" s="509"/>
      <c r="C2" s="509"/>
      <c r="D2" s="509"/>
      <c r="E2" s="509"/>
    </row>
    <row r="3" spans="1:5" ht="12.75">
      <c r="A3" s="858" t="s">
        <v>201</v>
      </c>
      <c r="B3" s="859"/>
      <c r="C3" s="859"/>
      <c r="D3" s="859"/>
      <c r="E3" s="860"/>
    </row>
    <row r="4" spans="1:10" ht="12.75">
      <c r="A4" s="861"/>
      <c r="B4" s="862"/>
      <c r="C4" s="862"/>
      <c r="D4" s="862"/>
      <c r="E4" s="863"/>
      <c r="J4" s="322"/>
    </row>
    <row r="5" spans="1:5" ht="12.75">
      <c r="A5" s="864" t="s">
        <v>583</v>
      </c>
      <c r="B5" s="865"/>
      <c r="C5" s="862"/>
      <c r="D5" s="862"/>
      <c r="E5" s="863"/>
    </row>
    <row r="6" spans="1:5" ht="12.75">
      <c r="A6" s="866" t="s">
        <v>590</v>
      </c>
      <c r="B6" s="867"/>
      <c r="C6" s="867"/>
      <c r="D6" s="867"/>
      <c r="E6" s="868"/>
    </row>
    <row r="7" spans="1:5" ht="13.5" thickBot="1">
      <c r="A7" s="869"/>
      <c r="B7" s="870"/>
      <c r="C7" s="870"/>
      <c r="D7" s="870"/>
      <c r="E7" s="871"/>
    </row>
    <row r="8" spans="1:5" ht="12.75">
      <c r="A8" s="499" t="s">
        <v>202</v>
      </c>
      <c r="B8" s="73" t="s">
        <v>203</v>
      </c>
      <c r="C8" s="499" t="s">
        <v>204</v>
      </c>
      <c r="D8" s="502"/>
      <c r="E8" s="73"/>
    </row>
    <row r="9" spans="1:5" ht="12.75">
      <c r="A9" s="500"/>
      <c r="B9" s="74"/>
      <c r="C9" s="500"/>
      <c r="D9" s="503"/>
      <c r="E9" s="74">
        <v>2018</v>
      </c>
    </row>
    <row r="10" spans="1:5" ht="13.5" thickBot="1">
      <c r="A10" s="501"/>
      <c r="B10" s="75" t="s">
        <v>205</v>
      </c>
      <c r="C10" s="501"/>
      <c r="D10" s="504"/>
      <c r="E10" s="76"/>
    </row>
    <row r="11" spans="1:5" ht="12.75">
      <c r="A11" s="494" t="s">
        <v>587</v>
      </c>
      <c r="B11" s="872" t="s">
        <v>586</v>
      </c>
      <c r="C11" s="494" t="s">
        <v>580</v>
      </c>
      <c r="D11" s="315" t="s">
        <v>206</v>
      </c>
      <c r="E11" s="874">
        <v>1</v>
      </c>
    </row>
    <row r="12" spans="1:5" ht="13.5" thickBot="1">
      <c r="A12" s="495"/>
      <c r="B12" s="873" t="s">
        <v>596</v>
      </c>
      <c r="C12" s="495"/>
      <c r="D12" s="316" t="s">
        <v>60</v>
      </c>
      <c r="E12" s="875">
        <v>50000</v>
      </c>
    </row>
    <row r="13" spans="1:5" ht="12.75">
      <c r="A13" s="494" t="s">
        <v>587</v>
      </c>
      <c r="B13" s="872" t="s">
        <v>581</v>
      </c>
      <c r="C13" s="494" t="s">
        <v>582</v>
      </c>
      <c r="D13" s="315" t="s">
        <v>206</v>
      </c>
      <c r="E13" s="874">
        <v>1</v>
      </c>
    </row>
    <row r="14" spans="1:5" ht="13.5" thickBot="1">
      <c r="A14" s="495"/>
      <c r="B14" s="873" t="s">
        <v>596</v>
      </c>
      <c r="C14" s="495"/>
      <c r="D14" s="316" t="s">
        <v>60</v>
      </c>
      <c r="E14" s="876">
        <v>40000</v>
      </c>
    </row>
    <row r="15" spans="1:5" ht="12.75">
      <c r="A15" s="494" t="s">
        <v>579</v>
      </c>
      <c r="B15" s="872" t="s">
        <v>584</v>
      </c>
      <c r="C15" s="494" t="s">
        <v>601</v>
      </c>
      <c r="D15" s="315" t="s">
        <v>206</v>
      </c>
      <c r="E15" s="874">
        <v>1</v>
      </c>
    </row>
    <row r="16" spans="1:5" ht="13.5" thickBot="1">
      <c r="A16" s="495"/>
      <c r="B16" s="873" t="s">
        <v>595</v>
      </c>
      <c r="C16" s="495"/>
      <c r="D16" s="316" t="s">
        <v>60</v>
      </c>
      <c r="E16" s="875">
        <v>40000</v>
      </c>
    </row>
    <row r="17" spans="1:5" ht="12.75">
      <c r="A17" s="494"/>
      <c r="B17" s="494"/>
      <c r="C17" s="494" t="s">
        <v>589</v>
      </c>
      <c r="D17" s="315" t="s">
        <v>206</v>
      </c>
      <c r="E17" s="511"/>
    </row>
    <row r="18" spans="1:5" ht="13.5" thickBot="1">
      <c r="A18" s="495"/>
      <c r="B18" s="495"/>
      <c r="C18" s="495"/>
      <c r="D18" s="316" t="s">
        <v>60</v>
      </c>
      <c r="E18" s="495"/>
    </row>
    <row r="19" spans="1:5" ht="13.5" thickBot="1">
      <c r="A19" s="314"/>
      <c r="B19" s="314"/>
      <c r="C19" s="314"/>
      <c r="D19" s="315" t="s">
        <v>206</v>
      </c>
      <c r="E19" s="314"/>
    </row>
    <row r="20" spans="1:5" ht="12.75">
      <c r="A20" s="494"/>
      <c r="B20" s="494"/>
      <c r="C20" s="494"/>
      <c r="D20" s="315" t="s">
        <v>206</v>
      </c>
      <c r="E20" s="494"/>
    </row>
    <row r="21" spans="1:5" ht="13.5" thickBot="1">
      <c r="A21" s="495"/>
      <c r="B21" s="495"/>
      <c r="C21" s="495"/>
      <c r="D21" s="316" t="s">
        <v>60</v>
      </c>
      <c r="E21" s="495"/>
    </row>
    <row r="22" spans="1:5" ht="12.75">
      <c r="A22" s="494"/>
      <c r="B22" s="494"/>
      <c r="C22" s="494"/>
      <c r="D22" s="315" t="s">
        <v>206</v>
      </c>
      <c r="E22" s="494"/>
    </row>
    <row r="23" spans="1:5" ht="13.5" thickBot="1">
      <c r="A23" s="495"/>
      <c r="B23" s="495"/>
      <c r="C23" s="495"/>
      <c r="D23" s="316" t="s">
        <v>60</v>
      </c>
      <c r="E23" s="495"/>
    </row>
    <row r="24" spans="1:5" ht="12.75">
      <c r="A24" s="494"/>
      <c r="B24" s="494"/>
      <c r="C24" s="494"/>
      <c r="D24" s="315" t="s">
        <v>206</v>
      </c>
      <c r="E24" s="494"/>
    </row>
    <row r="25" spans="1:5" ht="13.5" thickBot="1">
      <c r="A25" s="495"/>
      <c r="B25" s="495"/>
      <c r="C25" s="495"/>
      <c r="D25" s="316" t="s">
        <v>60</v>
      </c>
      <c r="E25" s="495"/>
    </row>
    <row r="26" spans="1:5" ht="12.75">
      <c r="A26" s="494"/>
      <c r="B26" s="494"/>
      <c r="C26" s="494"/>
      <c r="D26" s="315" t="s">
        <v>206</v>
      </c>
      <c r="E26" s="494"/>
    </row>
    <row r="27" spans="1:5" ht="13.5" thickBot="1">
      <c r="A27" s="495"/>
      <c r="B27" s="495"/>
      <c r="C27" s="495"/>
      <c r="D27" s="315" t="s">
        <v>60</v>
      </c>
      <c r="E27" s="495"/>
    </row>
    <row r="28" spans="1:5" ht="13.5" thickBot="1">
      <c r="A28" s="496" t="s">
        <v>207</v>
      </c>
      <c r="B28" s="497"/>
      <c r="C28" s="497"/>
      <c r="D28" s="498"/>
      <c r="E28" s="317">
        <f>E12+E14+E16</f>
        <v>130000</v>
      </c>
    </row>
    <row r="29" spans="1:5" ht="12.75">
      <c r="A29" s="877" t="s">
        <v>208</v>
      </c>
      <c r="B29" s="877" t="s">
        <v>209</v>
      </c>
      <c r="C29" s="878"/>
      <c r="D29" s="878"/>
      <c r="E29" s="878"/>
    </row>
    <row r="34" spans="1:5" ht="16.5" thickBot="1">
      <c r="A34" s="508" t="s">
        <v>563</v>
      </c>
      <c r="B34" s="509"/>
      <c r="C34" s="509"/>
      <c r="D34" s="509"/>
      <c r="E34" s="509"/>
    </row>
    <row r="35" spans="1:5" ht="12.75">
      <c r="A35" s="858" t="s">
        <v>201</v>
      </c>
      <c r="B35" s="859"/>
      <c r="C35" s="859"/>
      <c r="D35" s="859"/>
      <c r="E35" s="860"/>
    </row>
    <row r="36" spans="1:5" ht="12.75">
      <c r="A36" s="861"/>
      <c r="B36" s="862"/>
      <c r="C36" s="862"/>
      <c r="D36" s="862"/>
      <c r="E36" s="863"/>
    </row>
    <row r="37" spans="1:5" ht="12.75">
      <c r="A37" s="864" t="s">
        <v>583</v>
      </c>
      <c r="B37" s="865"/>
      <c r="C37" s="862"/>
      <c r="D37" s="862"/>
      <c r="E37" s="863"/>
    </row>
    <row r="38" spans="1:5" ht="12.75">
      <c r="A38" s="866" t="s">
        <v>591</v>
      </c>
      <c r="B38" s="867"/>
      <c r="C38" s="867"/>
      <c r="D38" s="867"/>
      <c r="E38" s="868"/>
    </row>
    <row r="39" spans="1:5" ht="13.5" thickBot="1">
      <c r="A39" s="869"/>
      <c r="B39" s="870"/>
      <c r="C39" s="870"/>
      <c r="D39" s="870"/>
      <c r="E39" s="871"/>
    </row>
    <row r="40" spans="1:5" ht="12.75">
      <c r="A40" s="499" t="s">
        <v>202</v>
      </c>
      <c r="B40" s="73" t="s">
        <v>203</v>
      </c>
      <c r="C40" s="499" t="s">
        <v>204</v>
      </c>
      <c r="D40" s="502"/>
      <c r="E40" s="73"/>
    </row>
    <row r="41" spans="1:5" ht="12.75">
      <c r="A41" s="500"/>
      <c r="B41" s="74"/>
      <c r="C41" s="500"/>
      <c r="D41" s="503"/>
      <c r="E41" s="74">
        <v>2018</v>
      </c>
    </row>
    <row r="42" spans="1:5" ht="13.5" thickBot="1">
      <c r="A42" s="501"/>
      <c r="B42" s="75" t="s">
        <v>205</v>
      </c>
      <c r="C42" s="501"/>
      <c r="D42" s="504"/>
      <c r="E42" s="76"/>
    </row>
    <row r="43" spans="1:5" ht="12.75">
      <c r="A43" s="494" t="s">
        <v>579</v>
      </c>
      <c r="B43" s="872" t="s">
        <v>588</v>
      </c>
      <c r="C43" s="494" t="s">
        <v>601</v>
      </c>
      <c r="D43" s="315" t="s">
        <v>206</v>
      </c>
      <c r="E43" s="874">
        <v>1</v>
      </c>
    </row>
    <row r="44" spans="1:5" ht="13.5" thickBot="1">
      <c r="A44" s="495"/>
      <c r="B44" s="873" t="s">
        <v>595</v>
      </c>
      <c r="C44" s="495"/>
      <c r="D44" s="316" t="s">
        <v>60</v>
      </c>
      <c r="E44" s="875">
        <v>30000</v>
      </c>
    </row>
    <row r="45" spans="1:5" ht="12.75">
      <c r="A45" s="494"/>
      <c r="B45" s="879"/>
      <c r="C45" s="494"/>
      <c r="D45" s="315" t="s">
        <v>206</v>
      </c>
      <c r="E45" s="511"/>
    </row>
    <row r="46" spans="1:5" ht="13.5" thickBot="1">
      <c r="A46" s="495"/>
      <c r="B46" s="880"/>
      <c r="C46" s="495"/>
      <c r="D46" s="316" t="s">
        <v>60</v>
      </c>
      <c r="E46" s="495"/>
    </row>
    <row r="47" spans="1:5" ht="12.75">
      <c r="A47" s="494"/>
      <c r="B47" s="879"/>
      <c r="C47" s="494"/>
      <c r="D47" s="315" t="s">
        <v>206</v>
      </c>
      <c r="E47" s="511"/>
    </row>
    <row r="48" spans="1:5" ht="13.5" thickBot="1">
      <c r="A48" s="495"/>
      <c r="B48" s="880"/>
      <c r="C48" s="495"/>
      <c r="D48" s="316" t="s">
        <v>60</v>
      </c>
      <c r="E48" s="510"/>
    </row>
    <row r="49" spans="1:5" ht="12.75">
      <c r="A49" s="494"/>
      <c r="B49" s="494"/>
      <c r="C49" s="494"/>
      <c r="D49" s="315" t="s">
        <v>206</v>
      </c>
      <c r="E49" s="494"/>
    </row>
    <row r="50" spans="1:5" ht="13.5" thickBot="1">
      <c r="A50" s="495"/>
      <c r="B50" s="495"/>
      <c r="C50" s="495"/>
      <c r="D50" s="316" t="s">
        <v>60</v>
      </c>
      <c r="E50" s="495"/>
    </row>
    <row r="51" spans="1:5" ht="12.75">
      <c r="A51" s="494"/>
      <c r="B51" s="494"/>
      <c r="C51" s="494"/>
      <c r="D51" s="315" t="s">
        <v>206</v>
      </c>
      <c r="E51" s="494"/>
    </row>
    <row r="52" spans="1:5" ht="13.5" thickBot="1">
      <c r="A52" s="495"/>
      <c r="B52" s="495"/>
      <c r="C52" s="495"/>
      <c r="D52" s="316" t="s">
        <v>60</v>
      </c>
      <c r="E52" s="495"/>
    </row>
    <row r="53" spans="1:5" ht="12.75">
      <c r="A53" s="494"/>
      <c r="B53" s="494"/>
      <c r="C53" s="494"/>
      <c r="D53" s="315" t="s">
        <v>206</v>
      </c>
      <c r="E53" s="494"/>
    </row>
    <row r="54" spans="1:5" ht="13.5" thickBot="1">
      <c r="A54" s="495"/>
      <c r="B54" s="495"/>
      <c r="C54" s="495"/>
      <c r="D54" s="316" t="s">
        <v>60</v>
      </c>
      <c r="E54" s="495"/>
    </row>
    <row r="55" spans="1:5" ht="12.75">
      <c r="A55" s="494"/>
      <c r="B55" s="494"/>
      <c r="C55" s="494"/>
      <c r="D55" s="315" t="s">
        <v>206</v>
      </c>
      <c r="E55" s="494"/>
    </row>
    <row r="56" spans="1:5" ht="13.5" thickBot="1">
      <c r="A56" s="495"/>
      <c r="B56" s="495"/>
      <c r="C56" s="495"/>
      <c r="D56" s="315" t="s">
        <v>60</v>
      </c>
      <c r="E56" s="495"/>
    </row>
    <row r="57" spans="1:5" ht="13.5" thickBot="1">
      <c r="A57" s="496" t="s">
        <v>207</v>
      </c>
      <c r="B57" s="497"/>
      <c r="C57" s="497"/>
      <c r="D57" s="498"/>
      <c r="E57" s="317">
        <f>E44</f>
        <v>30000</v>
      </c>
    </row>
    <row r="58" spans="1:5" ht="12.75">
      <c r="A58" s="877" t="s">
        <v>208</v>
      </c>
      <c r="B58" s="877" t="s">
        <v>209</v>
      </c>
      <c r="C58" s="878"/>
      <c r="D58" s="878"/>
      <c r="E58" s="878"/>
    </row>
    <row r="61" spans="1:5" ht="16.5" thickBot="1">
      <c r="A61" s="508" t="s">
        <v>563</v>
      </c>
      <c r="B61" s="509"/>
      <c r="C61" s="509"/>
      <c r="D61" s="509"/>
      <c r="E61" s="509"/>
    </row>
    <row r="62" spans="1:5" ht="12.75">
      <c r="A62" s="858" t="s">
        <v>201</v>
      </c>
      <c r="B62" s="859"/>
      <c r="C62" s="859"/>
      <c r="D62" s="859"/>
      <c r="E62" s="860"/>
    </row>
    <row r="63" spans="1:5" ht="12.75">
      <c r="A63" s="861"/>
      <c r="B63" s="862"/>
      <c r="C63" s="862"/>
      <c r="D63" s="862"/>
      <c r="E63" s="863"/>
    </row>
    <row r="64" spans="1:5" ht="12.75">
      <c r="A64" s="864" t="s">
        <v>583</v>
      </c>
      <c r="B64" s="865"/>
      <c r="C64" s="862"/>
      <c r="D64" s="862"/>
      <c r="E64" s="863"/>
    </row>
    <row r="65" spans="1:5" ht="12.75">
      <c r="A65" s="866" t="s">
        <v>592</v>
      </c>
      <c r="B65" s="867"/>
      <c r="C65" s="867"/>
      <c r="D65" s="867"/>
      <c r="E65" s="868"/>
    </row>
    <row r="66" spans="1:5" ht="13.5" thickBot="1">
      <c r="A66" s="869"/>
      <c r="B66" s="870"/>
      <c r="C66" s="870"/>
      <c r="D66" s="870"/>
      <c r="E66" s="871"/>
    </row>
    <row r="67" spans="1:5" ht="12.75">
      <c r="A67" s="499" t="s">
        <v>202</v>
      </c>
      <c r="B67" s="73" t="s">
        <v>203</v>
      </c>
      <c r="C67" s="499" t="s">
        <v>204</v>
      </c>
      <c r="D67" s="502"/>
      <c r="E67" s="73"/>
    </row>
    <row r="68" spans="1:5" ht="12.75">
      <c r="A68" s="500"/>
      <c r="B68" s="74"/>
      <c r="C68" s="500"/>
      <c r="D68" s="503"/>
      <c r="E68" s="74">
        <v>2018</v>
      </c>
    </row>
    <row r="69" spans="1:5" ht="13.5" thickBot="1">
      <c r="A69" s="501"/>
      <c r="B69" s="75" t="s">
        <v>205</v>
      </c>
      <c r="C69" s="501"/>
      <c r="D69" s="504"/>
      <c r="E69" s="76"/>
    </row>
    <row r="70" spans="1:5" ht="12.75">
      <c r="A70" s="494" t="s">
        <v>579</v>
      </c>
      <c r="B70" s="872" t="s">
        <v>593</v>
      </c>
      <c r="C70" s="494" t="s">
        <v>580</v>
      </c>
      <c r="D70" s="315" t="s">
        <v>206</v>
      </c>
      <c r="E70" s="874" t="s">
        <v>602</v>
      </c>
    </row>
    <row r="71" spans="1:5" ht="13.5" thickBot="1">
      <c r="A71" s="495"/>
      <c r="B71" s="873" t="s">
        <v>611</v>
      </c>
      <c r="C71" s="495"/>
      <c r="D71" s="316" t="s">
        <v>60</v>
      </c>
      <c r="E71" s="875">
        <v>30000</v>
      </c>
    </row>
    <row r="72" spans="1:5" ht="12.75">
      <c r="A72" s="494"/>
      <c r="B72" s="879"/>
      <c r="C72" s="494" t="s">
        <v>582</v>
      </c>
      <c r="D72" s="315" t="s">
        <v>206</v>
      </c>
      <c r="E72" s="511"/>
    </row>
    <row r="73" spans="1:5" ht="13.5" thickBot="1">
      <c r="A73" s="495"/>
      <c r="B73" s="880"/>
      <c r="C73" s="495"/>
      <c r="D73" s="316" t="s">
        <v>60</v>
      </c>
      <c r="E73" s="495"/>
    </row>
    <row r="74" spans="1:5" ht="12.75">
      <c r="A74" s="494"/>
      <c r="B74" s="879"/>
      <c r="C74" s="494" t="s">
        <v>585</v>
      </c>
      <c r="D74" s="315" t="s">
        <v>206</v>
      </c>
      <c r="E74" s="511"/>
    </row>
    <row r="75" spans="1:5" ht="13.5" thickBot="1">
      <c r="A75" s="495"/>
      <c r="B75" s="880"/>
      <c r="C75" s="495"/>
      <c r="D75" s="316" t="s">
        <v>60</v>
      </c>
      <c r="E75" s="510"/>
    </row>
    <row r="76" spans="1:5" ht="12.75">
      <c r="A76" s="494"/>
      <c r="B76" s="494"/>
      <c r="C76" s="494"/>
      <c r="D76" s="315" t="s">
        <v>206</v>
      </c>
      <c r="E76" s="494"/>
    </row>
    <row r="77" spans="1:5" ht="13.5" thickBot="1">
      <c r="A77" s="495"/>
      <c r="B77" s="495"/>
      <c r="C77" s="495"/>
      <c r="D77" s="316" t="s">
        <v>60</v>
      </c>
      <c r="E77" s="495"/>
    </row>
    <row r="78" spans="1:5" ht="12.75">
      <c r="A78" s="494"/>
      <c r="B78" s="494"/>
      <c r="C78" s="494"/>
      <c r="D78" s="315" t="s">
        <v>206</v>
      </c>
      <c r="E78" s="494"/>
    </row>
    <row r="79" spans="1:5" ht="13.5" thickBot="1">
      <c r="A79" s="495"/>
      <c r="B79" s="495"/>
      <c r="C79" s="495"/>
      <c r="D79" s="316" t="s">
        <v>60</v>
      </c>
      <c r="E79" s="495"/>
    </row>
    <row r="80" spans="1:5" ht="12.75">
      <c r="A80" s="494"/>
      <c r="B80" s="494"/>
      <c r="C80" s="494"/>
      <c r="D80" s="315" t="s">
        <v>206</v>
      </c>
      <c r="E80" s="494"/>
    </row>
    <row r="81" spans="1:5" ht="13.5" thickBot="1">
      <c r="A81" s="495"/>
      <c r="B81" s="495"/>
      <c r="C81" s="495"/>
      <c r="D81" s="316" t="s">
        <v>60</v>
      </c>
      <c r="E81" s="495"/>
    </row>
    <row r="82" spans="1:5" ht="12.75">
      <c r="A82" s="494"/>
      <c r="B82" s="494"/>
      <c r="C82" s="494"/>
      <c r="D82" s="315" t="s">
        <v>206</v>
      </c>
      <c r="E82" s="494"/>
    </row>
    <row r="83" spans="1:5" ht="13.5" thickBot="1">
      <c r="A83" s="495"/>
      <c r="B83" s="495"/>
      <c r="C83" s="495"/>
      <c r="D83" s="316" t="s">
        <v>60</v>
      </c>
      <c r="E83" s="495"/>
    </row>
    <row r="84" spans="1:5" ht="12.75">
      <c r="A84" s="494"/>
      <c r="B84" s="494"/>
      <c r="C84" s="494"/>
      <c r="D84" s="315" t="s">
        <v>206</v>
      </c>
      <c r="E84" s="494"/>
    </row>
    <row r="85" spans="1:5" ht="13.5" thickBot="1">
      <c r="A85" s="495"/>
      <c r="B85" s="495"/>
      <c r="C85" s="495"/>
      <c r="D85" s="315" t="s">
        <v>60</v>
      </c>
      <c r="E85" s="495"/>
    </row>
    <row r="86" spans="1:5" ht="13.5" thickBot="1">
      <c r="A86" s="496" t="s">
        <v>207</v>
      </c>
      <c r="B86" s="497"/>
      <c r="C86" s="497"/>
      <c r="D86" s="498"/>
      <c r="E86" s="317">
        <f>E71</f>
        <v>30000</v>
      </c>
    </row>
    <row r="87" spans="1:5" ht="12.75">
      <c r="A87" s="877" t="s">
        <v>208</v>
      </c>
      <c r="B87" s="877" t="s">
        <v>209</v>
      </c>
      <c r="C87" s="878"/>
      <c r="D87" s="878"/>
      <c r="E87" s="878"/>
    </row>
    <row r="91" spans="1:5" ht="16.5" thickBot="1">
      <c r="A91" s="508" t="s">
        <v>563</v>
      </c>
      <c r="B91" s="509"/>
      <c r="C91" s="509"/>
      <c r="D91" s="509"/>
      <c r="E91" s="509"/>
    </row>
    <row r="92" spans="1:5" ht="12.75">
      <c r="A92" s="858" t="s">
        <v>201</v>
      </c>
      <c r="B92" s="859"/>
      <c r="C92" s="859"/>
      <c r="D92" s="859"/>
      <c r="E92" s="860"/>
    </row>
    <row r="93" spans="1:5" ht="12.75">
      <c r="A93" s="861"/>
      <c r="B93" s="862"/>
      <c r="C93" s="862"/>
      <c r="D93" s="862"/>
      <c r="E93" s="863"/>
    </row>
    <row r="94" spans="1:5" ht="12.75">
      <c r="A94" s="864" t="s">
        <v>594</v>
      </c>
      <c r="B94" s="865"/>
      <c r="C94" s="862"/>
      <c r="D94" s="862"/>
      <c r="E94" s="863"/>
    </row>
    <row r="95" spans="1:5" ht="12.75">
      <c r="A95" s="866" t="s">
        <v>624</v>
      </c>
      <c r="B95" s="867"/>
      <c r="C95" s="867"/>
      <c r="D95" s="867"/>
      <c r="E95" s="868"/>
    </row>
    <row r="96" spans="1:5" ht="13.5" thickBot="1">
      <c r="A96" s="881" t="s">
        <v>625</v>
      </c>
      <c r="B96" s="882"/>
      <c r="C96" s="882"/>
      <c r="D96" s="882"/>
      <c r="E96" s="883"/>
    </row>
    <row r="97" spans="1:5" ht="12.75">
      <c r="A97" s="499" t="s">
        <v>202</v>
      </c>
      <c r="B97" s="73" t="s">
        <v>203</v>
      </c>
      <c r="C97" s="499" t="s">
        <v>204</v>
      </c>
      <c r="D97" s="502"/>
      <c r="E97" s="73"/>
    </row>
    <row r="98" spans="1:5" ht="12.75">
      <c r="A98" s="500"/>
      <c r="B98" s="74"/>
      <c r="C98" s="500"/>
      <c r="D98" s="503"/>
      <c r="E98" s="74">
        <v>2018</v>
      </c>
    </row>
    <row r="99" spans="1:5" ht="13.5" thickBot="1">
      <c r="A99" s="501"/>
      <c r="B99" s="75" t="s">
        <v>205</v>
      </c>
      <c r="C99" s="501"/>
      <c r="D99" s="504"/>
      <c r="E99" s="76"/>
    </row>
    <row r="100" spans="1:5" ht="12.75">
      <c r="A100" s="494" t="s">
        <v>587</v>
      </c>
      <c r="B100" s="872" t="s">
        <v>597</v>
      </c>
      <c r="C100" s="494" t="s">
        <v>580</v>
      </c>
      <c r="D100" s="315" t="s">
        <v>206</v>
      </c>
      <c r="E100" s="885">
        <v>2</v>
      </c>
    </row>
    <row r="101" spans="1:5" ht="13.5" thickBot="1">
      <c r="A101" s="495"/>
      <c r="B101" s="873" t="s">
        <v>598</v>
      </c>
      <c r="C101" s="495"/>
      <c r="D101" s="316" t="s">
        <v>60</v>
      </c>
      <c r="E101" s="875">
        <v>140000</v>
      </c>
    </row>
    <row r="102" spans="1:5" ht="12.75">
      <c r="A102" s="494" t="s">
        <v>587</v>
      </c>
      <c r="B102" s="872" t="s">
        <v>599</v>
      </c>
      <c r="C102" s="494" t="s">
        <v>13</v>
      </c>
      <c r="D102" s="315" t="s">
        <v>206</v>
      </c>
      <c r="E102" s="874" t="s">
        <v>600</v>
      </c>
    </row>
    <row r="103" spans="1:5" ht="13.5" thickBot="1">
      <c r="A103" s="495"/>
      <c r="B103" s="873" t="s">
        <v>603</v>
      </c>
      <c r="C103" s="495"/>
      <c r="D103" s="316" t="s">
        <v>60</v>
      </c>
      <c r="E103" s="876">
        <v>142380.04</v>
      </c>
    </row>
    <row r="104" spans="1:5" ht="12.75">
      <c r="A104" s="494" t="s">
        <v>587</v>
      </c>
      <c r="B104" s="872" t="s">
        <v>604</v>
      </c>
      <c r="C104" s="494" t="s">
        <v>605</v>
      </c>
      <c r="D104" s="315" t="s">
        <v>206</v>
      </c>
      <c r="E104" s="886" t="s">
        <v>608</v>
      </c>
    </row>
    <row r="105" spans="1:5" ht="13.5" thickBot="1">
      <c r="A105" s="495"/>
      <c r="B105" s="873" t="s">
        <v>610</v>
      </c>
      <c r="C105" s="495"/>
      <c r="D105" s="316" t="s">
        <v>60</v>
      </c>
      <c r="E105" s="887">
        <v>40000</v>
      </c>
    </row>
    <row r="106" spans="1:5" ht="12.75">
      <c r="A106" s="494" t="s">
        <v>587</v>
      </c>
      <c r="B106" s="884" t="s">
        <v>606</v>
      </c>
      <c r="C106" s="494" t="s">
        <v>601</v>
      </c>
      <c r="D106" s="318" t="s">
        <v>206</v>
      </c>
      <c r="E106" s="888" t="s">
        <v>608</v>
      </c>
    </row>
    <row r="107" spans="1:5" ht="13.5" thickBot="1">
      <c r="A107" s="495"/>
      <c r="B107" s="884" t="s">
        <v>607</v>
      </c>
      <c r="C107" s="495"/>
      <c r="D107" s="319" t="s">
        <v>60</v>
      </c>
      <c r="E107" s="889">
        <v>620000</v>
      </c>
    </row>
    <row r="108" spans="1:5" ht="12.75">
      <c r="A108" s="494" t="s">
        <v>587</v>
      </c>
      <c r="B108" s="872" t="s">
        <v>609</v>
      </c>
      <c r="C108" s="494" t="s">
        <v>589</v>
      </c>
      <c r="D108" s="315" t="s">
        <v>206</v>
      </c>
      <c r="E108" s="884">
        <v>2</v>
      </c>
    </row>
    <row r="109" spans="1:5" ht="13.5" thickBot="1">
      <c r="A109" s="495"/>
      <c r="B109" s="873" t="s">
        <v>612</v>
      </c>
      <c r="C109" s="495"/>
      <c r="D109" s="316" t="s">
        <v>60</v>
      </c>
      <c r="E109" s="875">
        <v>195000</v>
      </c>
    </row>
    <row r="110" spans="1:5" ht="12.75">
      <c r="A110" s="494" t="s">
        <v>587</v>
      </c>
      <c r="B110" s="872" t="s">
        <v>630</v>
      </c>
      <c r="C110" s="494" t="s">
        <v>589</v>
      </c>
      <c r="D110" s="315" t="s">
        <v>206</v>
      </c>
      <c r="E110" s="872">
        <v>1</v>
      </c>
    </row>
    <row r="111" spans="1:5" ht="13.5" thickBot="1">
      <c r="A111" s="495"/>
      <c r="B111" s="873" t="s">
        <v>603</v>
      </c>
      <c r="C111" s="495"/>
      <c r="D111" s="316" t="s">
        <v>60</v>
      </c>
      <c r="E111" s="875">
        <v>5000</v>
      </c>
    </row>
    <row r="112" spans="1:5" ht="12.75">
      <c r="A112" s="494" t="s">
        <v>587</v>
      </c>
      <c r="B112" s="872" t="s">
        <v>781</v>
      </c>
      <c r="C112" s="494"/>
      <c r="D112" s="315" t="s">
        <v>206</v>
      </c>
      <c r="E112" s="872">
        <v>1</v>
      </c>
    </row>
    <row r="113" spans="1:5" ht="13.5" thickBot="1">
      <c r="A113" s="495"/>
      <c r="B113" s="873" t="s">
        <v>782</v>
      </c>
      <c r="C113" s="495"/>
      <c r="D113" s="316" t="s">
        <v>60</v>
      </c>
      <c r="E113" s="875">
        <v>20000</v>
      </c>
    </row>
    <row r="114" spans="1:5" ht="13.5" thickBot="1">
      <c r="A114" s="496" t="s">
        <v>207</v>
      </c>
      <c r="B114" s="497"/>
      <c r="C114" s="497"/>
      <c r="D114" s="498"/>
      <c r="E114" s="317">
        <f>E101+E103+E107+E109+E111+E105+E113</f>
        <v>1162380.04</v>
      </c>
    </row>
    <row r="115" spans="1:5" ht="12.75">
      <c r="A115" s="877" t="s">
        <v>208</v>
      </c>
      <c r="B115" s="877" t="s">
        <v>209</v>
      </c>
      <c r="C115" s="878"/>
      <c r="D115" s="878"/>
      <c r="E115" s="878"/>
    </row>
    <row r="119" spans="1:5" ht="16.5" thickBot="1">
      <c r="A119" s="508" t="s">
        <v>563</v>
      </c>
      <c r="B119" s="509"/>
      <c r="C119" s="509"/>
      <c r="D119" s="509"/>
      <c r="E119" s="509"/>
    </row>
    <row r="120" spans="1:5" ht="12.75">
      <c r="A120" s="858" t="s">
        <v>201</v>
      </c>
      <c r="B120" s="859"/>
      <c r="C120" s="859"/>
      <c r="D120" s="859"/>
      <c r="E120" s="860"/>
    </row>
    <row r="121" spans="1:5" ht="12.75">
      <c r="A121" s="861"/>
      <c r="B121" s="862"/>
      <c r="C121" s="862"/>
      <c r="D121" s="862"/>
      <c r="E121" s="863"/>
    </row>
    <row r="122" spans="1:5" ht="12.75">
      <c r="A122" s="864" t="s">
        <v>613</v>
      </c>
      <c r="B122" s="865"/>
      <c r="C122" s="862"/>
      <c r="D122" s="862"/>
      <c r="E122" s="863"/>
    </row>
    <row r="123" spans="1:5" ht="12.75">
      <c r="A123" s="866" t="s">
        <v>626</v>
      </c>
      <c r="B123" s="867"/>
      <c r="C123" s="867"/>
      <c r="D123" s="867"/>
      <c r="E123" s="868"/>
    </row>
    <row r="124" spans="1:5" ht="13.5" thickBot="1">
      <c r="A124" s="869"/>
      <c r="B124" s="870"/>
      <c r="C124" s="870"/>
      <c r="D124" s="870"/>
      <c r="E124" s="871"/>
    </row>
    <row r="125" spans="1:5" ht="12.75">
      <c r="A125" s="499" t="s">
        <v>202</v>
      </c>
      <c r="B125" s="73" t="s">
        <v>203</v>
      </c>
      <c r="C125" s="499" t="s">
        <v>204</v>
      </c>
      <c r="D125" s="502"/>
      <c r="E125" s="73"/>
    </row>
    <row r="126" spans="1:5" ht="12.75">
      <c r="A126" s="500"/>
      <c r="B126" s="74"/>
      <c r="C126" s="500"/>
      <c r="D126" s="503"/>
      <c r="E126" s="74">
        <v>2018</v>
      </c>
    </row>
    <row r="127" spans="1:5" ht="13.5" thickBot="1">
      <c r="A127" s="501"/>
      <c r="B127" s="75" t="s">
        <v>205</v>
      </c>
      <c r="C127" s="501"/>
      <c r="D127" s="504"/>
      <c r="E127" s="76"/>
    </row>
    <row r="128" spans="1:5" ht="12.75">
      <c r="A128" s="494" t="s">
        <v>587</v>
      </c>
      <c r="B128" s="872" t="s">
        <v>614</v>
      </c>
      <c r="C128" s="494" t="s">
        <v>585</v>
      </c>
      <c r="D128" s="315" t="s">
        <v>206</v>
      </c>
      <c r="E128" s="885">
        <v>1</v>
      </c>
    </row>
    <row r="129" spans="1:5" ht="13.5" thickBot="1">
      <c r="A129" s="495"/>
      <c r="B129" s="873" t="s">
        <v>615</v>
      </c>
      <c r="C129" s="495"/>
      <c r="D129" s="316" t="s">
        <v>60</v>
      </c>
      <c r="E129" s="875">
        <v>30000</v>
      </c>
    </row>
    <row r="130" spans="1:5" ht="12.75">
      <c r="A130" s="494" t="s">
        <v>587</v>
      </c>
      <c r="B130" s="872" t="s">
        <v>616</v>
      </c>
      <c r="C130" s="494" t="s">
        <v>589</v>
      </c>
      <c r="D130" s="315" t="s">
        <v>206</v>
      </c>
      <c r="E130" s="874" t="s">
        <v>617</v>
      </c>
    </row>
    <row r="131" spans="1:5" ht="13.5" thickBot="1">
      <c r="A131" s="495"/>
      <c r="B131" s="873" t="s">
        <v>615</v>
      </c>
      <c r="C131" s="495"/>
      <c r="D131" s="316" t="s">
        <v>60</v>
      </c>
      <c r="E131" s="876">
        <v>7000</v>
      </c>
    </row>
    <row r="132" spans="1:5" ht="12.75">
      <c r="A132" s="494" t="s">
        <v>587</v>
      </c>
      <c r="B132" s="872" t="s">
        <v>618</v>
      </c>
      <c r="C132" s="494" t="s">
        <v>620</v>
      </c>
      <c r="D132" s="315" t="s">
        <v>206</v>
      </c>
      <c r="E132" s="874">
        <v>1</v>
      </c>
    </row>
    <row r="133" spans="1:5" ht="13.5" thickBot="1">
      <c r="A133" s="495"/>
      <c r="B133" s="873" t="s">
        <v>619</v>
      </c>
      <c r="C133" s="495"/>
      <c r="D133" s="316" t="s">
        <v>60</v>
      </c>
      <c r="E133" s="887">
        <v>35000</v>
      </c>
    </row>
    <row r="134" spans="1:5" ht="12.75">
      <c r="A134" s="494" t="s">
        <v>587</v>
      </c>
      <c r="B134" s="884" t="s">
        <v>621</v>
      </c>
      <c r="C134" s="494" t="s">
        <v>620</v>
      </c>
      <c r="D134" s="318" t="s">
        <v>206</v>
      </c>
      <c r="E134" s="888">
        <v>1</v>
      </c>
    </row>
    <row r="135" spans="1:5" ht="13.5" thickBot="1">
      <c r="A135" s="495"/>
      <c r="B135" s="884" t="s">
        <v>622</v>
      </c>
      <c r="C135" s="495"/>
      <c r="D135" s="319" t="s">
        <v>60</v>
      </c>
      <c r="E135" s="889">
        <v>5000</v>
      </c>
    </row>
    <row r="136" spans="1:5" ht="12.75">
      <c r="A136" s="494"/>
      <c r="B136" s="872"/>
      <c r="C136" s="494"/>
      <c r="D136" s="315" t="s">
        <v>206</v>
      </c>
      <c r="E136" s="320"/>
    </row>
    <row r="137" spans="1:5" ht="13.5" thickBot="1">
      <c r="A137" s="495"/>
      <c r="B137" s="873"/>
      <c r="C137" s="495"/>
      <c r="D137" s="316" t="s">
        <v>60</v>
      </c>
      <c r="E137" s="321"/>
    </row>
    <row r="138" spans="1:5" ht="12.75">
      <c r="A138" s="494"/>
      <c r="B138" s="494"/>
      <c r="C138" s="494"/>
      <c r="D138" s="315" t="s">
        <v>206</v>
      </c>
      <c r="E138" s="494"/>
    </row>
    <row r="139" spans="1:5" ht="13.5" thickBot="1">
      <c r="A139" s="495"/>
      <c r="B139" s="495"/>
      <c r="C139" s="495"/>
      <c r="D139" s="316" t="s">
        <v>60</v>
      </c>
      <c r="E139" s="495"/>
    </row>
    <row r="140" spans="1:5" ht="12.75">
      <c r="A140" s="494"/>
      <c r="B140" s="494"/>
      <c r="C140" s="494"/>
      <c r="D140" s="315" t="s">
        <v>206</v>
      </c>
      <c r="E140" s="494"/>
    </row>
    <row r="141" spans="1:5" ht="13.5" thickBot="1">
      <c r="A141" s="495"/>
      <c r="B141" s="495"/>
      <c r="C141" s="495"/>
      <c r="D141" s="315" t="s">
        <v>60</v>
      </c>
      <c r="E141" s="495"/>
    </row>
    <row r="142" spans="1:5" ht="13.5" thickBot="1">
      <c r="A142" s="496" t="s">
        <v>207</v>
      </c>
      <c r="B142" s="497"/>
      <c r="C142" s="497"/>
      <c r="D142" s="498"/>
      <c r="E142" s="317">
        <f>E129+E131+E133+E135</f>
        <v>77000</v>
      </c>
    </row>
    <row r="143" spans="1:5" ht="12.75">
      <c r="A143" s="877" t="s">
        <v>208</v>
      </c>
      <c r="B143" s="877" t="s">
        <v>209</v>
      </c>
      <c r="C143" s="878"/>
      <c r="D143" s="878"/>
      <c r="E143" s="878"/>
    </row>
    <row r="147" spans="1:5" ht="16.5" thickBot="1">
      <c r="A147" s="508" t="s">
        <v>563</v>
      </c>
      <c r="B147" s="509"/>
      <c r="C147" s="509"/>
      <c r="D147" s="509"/>
      <c r="E147" s="509"/>
    </row>
    <row r="148" spans="1:5" ht="12.75">
      <c r="A148" s="858" t="s">
        <v>201</v>
      </c>
      <c r="B148" s="859"/>
      <c r="C148" s="859"/>
      <c r="D148" s="859"/>
      <c r="E148" s="860"/>
    </row>
    <row r="149" spans="1:5" ht="12.75">
      <c r="A149" s="861"/>
      <c r="B149" s="862"/>
      <c r="C149" s="862"/>
      <c r="D149" s="862"/>
      <c r="E149" s="863"/>
    </row>
    <row r="150" spans="1:5" ht="12.75">
      <c r="A150" s="864" t="s">
        <v>623</v>
      </c>
      <c r="B150" s="865"/>
      <c r="C150" s="862"/>
      <c r="D150" s="862"/>
      <c r="E150" s="863"/>
    </row>
    <row r="151" spans="1:5" ht="12.75">
      <c r="A151" s="866" t="s">
        <v>627</v>
      </c>
      <c r="B151" s="867"/>
      <c r="C151" s="867"/>
      <c r="D151" s="867"/>
      <c r="E151" s="868"/>
    </row>
    <row r="152" spans="1:5" ht="13.5" thickBot="1">
      <c r="A152" s="869"/>
      <c r="B152" s="870"/>
      <c r="C152" s="870"/>
      <c r="D152" s="870"/>
      <c r="E152" s="871"/>
    </row>
    <row r="153" spans="1:5" ht="12.75">
      <c r="A153" s="499" t="s">
        <v>202</v>
      </c>
      <c r="B153" s="73" t="s">
        <v>203</v>
      </c>
      <c r="C153" s="499" t="s">
        <v>204</v>
      </c>
      <c r="D153" s="502"/>
      <c r="E153" s="73"/>
    </row>
    <row r="154" spans="1:5" ht="12.75">
      <c r="A154" s="500"/>
      <c r="B154" s="74"/>
      <c r="C154" s="500"/>
      <c r="D154" s="503"/>
      <c r="E154" s="74">
        <v>2018</v>
      </c>
    </row>
    <row r="155" spans="1:5" ht="13.5" thickBot="1">
      <c r="A155" s="501"/>
      <c r="B155" s="75" t="s">
        <v>205</v>
      </c>
      <c r="C155" s="501"/>
      <c r="D155" s="504"/>
      <c r="E155" s="76"/>
    </row>
    <row r="156" spans="1:5" ht="24">
      <c r="A156" s="494" t="s">
        <v>579</v>
      </c>
      <c r="B156" s="872" t="s">
        <v>628</v>
      </c>
      <c r="C156" s="494" t="s">
        <v>585</v>
      </c>
      <c r="D156" s="315" t="s">
        <v>206</v>
      </c>
      <c r="E156" s="885">
        <v>20</v>
      </c>
    </row>
    <row r="157" spans="1:5" ht="13.5" thickBot="1">
      <c r="A157" s="495"/>
      <c r="B157" s="873" t="s">
        <v>615</v>
      </c>
      <c r="C157" s="495"/>
      <c r="D157" s="316" t="s">
        <v>60</v>
      </c>
      <c r="E157" s="875">
        <v>148000</v>
      </c>
    </row>
    <row r="158" spans="1:5" ht="12.75">
      <c r="A158" s="494"/>
      <c r="B158" s="872"/>
      <c r="C158" s="494"/>
      <c r="D158" s="315" t="s">
        <v>206</v>
      </c>
      <c r="E158" s="874"/>
    </row>
    <row r="159" spans="1:5" ht="13.5" thickBot="1">
      <c r="A159" s="495"/>
      <c r="B159" s="873"/>
      <c r="C159" s="495"/>
      <c r="D159" s="316" t="s">
        <v>60</v>
      </c>
      <c r="E159" s="876"/>
    </row>
    <row r="160" spans="1:5" ht="12.75">
      <c r="A160" s="494"/>
      <c r="B160" s="872"/>
      <c r="C160" s="494"/>
      <c r="D160" s="315" t="s">
        <v>206</v>
      </c>
      <c r="E160" s="874"/>
    </row>
    <row r="161" spans="1:5" ht="13.5" thickBot="1">
      <c r="A161" s="495"/>
      <c r="B161" s="873"/>
      <c r="C161" s="495"/>
      <c r="D161" s="316" t="s">
        <v>60</v>
      </c>
      <c r="E161" s="887"/>
    </row>
    <row r="162" spans="1:5" ht="12.75">
      <c r="A162" s="494"/>
      <c r="B162" s="494"/>
      <c r="C162" s="494"/>
      <c r="D162" s="315" t="s">
        <v>206</v>
      </c>
      <c r="E162" s="494"/>
    </row>
    <row r="163" spans="1:5" ht="13.5" thickBot="1">
      <c r="A163" s="495"/>
      <c r="B163" s="495"/>
      <c r="C163" s="495"/>
      <c r="D163" s="316" t="s">
        <v>60</v>
      </c>
      <c r="E163" s="495"/>
    </row>
    <row r="164" spans="1:5" ht="12.75">
      <c r="A164" s="494"/>
      <c r="B164" s="494"/>
      <c r="C164" s="494"/>
      <c r="D164" s="315" t="s">
        <v>206</v>
      </c>
      <c r="E164" s="494"/>
    </row>
    <row r="165" spans="1:5" ht="13.5" thickBot="1">
      <c r="A165" s="495"/>
      <c r="B165" s="495"/>
      <c r="C165" s="495"/>
      <c r="D165" s="316" t="s">
        <v>60</v>
      </c>
      <c r="E165" s="495"/>
    </row>
    <row r="166" spans="1:5" ht="12.75">
      <c r="A166" s="494"/>
      <c r="B166" s="494"/>
      <c r="C166" s="494"/>
      <c r="D166" s="315" t="s">
        <v>206</v>
      </c>
      <c r="E166" s="494"/>
    </row>
    <row r="167" spans="1:5" ht="13.5" thickBot="1">
      <c r="A167" s="495"/>
      <c r="B167" s="495"/>
      <c r="C167" s="495"/>
      <c r="D167" s="316" t="s">
        <v>60</v>
      </c>
      <c r="E167" s="495"/>
    </row>
    <row r="168" spans="1:5" ht="12.75">
      <c r="A168" s="494"/>
      <c r="B168" s="494"/>
      <c r="C168" s="494"/>
      <c r="D168" s="315" t="s">
        <v>206</v>
      </c>
      <c r="E168" s="494"/>
    </row>
    <row r="169" spans="1:5" ht="13.5" thickBot="1">
      <c r="A169" s="495"/>
      <c r="B169" s="495"/>
      <c r="C169" s="495"/>
      <c r="D169" s="315" t="s">
        <v>60</v>
      </c>
      <c r="E169" s="495"/>
    </row>
    <row r="170" spans="1:5" ht="13.5" thickBot="1">
      <c r="A170" s="496" t="s">
        <v>207</v>
      </c>
      <c r="B170" s="497"/>
      <c r="C170" s="497"/>
      <c r="D170" s="498"/>
      <c r="E170" s="317">
        <f>E157+E161</f>
        <v>148000</v>
      </c>
    </row>
    <row r="171" spans="1:2" ht="12.75">
      <c r="A171" s="77" t="s">
        <v>208</v>
      </c>
      <c r="B171" s="77" t="s">
        <v>209</v>
      </c>
    </row>
    <row r="174" spans="1:5" ht="16.5" thickBot="1">
      <c r="A174" s="508" t="s">
        <v>563</v>
      </c>
      <c r="B174" s="509"/>
      <c r="C174" s="509"/>
      <c r="D174" s="509"/>
      <c r="E174" s="509"/>
    </row>
    <row r="175" spans="1:5" ht="12.75">
      <c r="A175" s="858" t="s">
        <v>201</v>
      </c>
      <c r="B175" s="859"/>
      <c r="C175" s="859"/>
      <c r="D175" s="859"/>
      <c r="E175" s="860"/>
    </row>
    <row r="176" spans="1:5" ht="12.75">
      <c r="A176" s="861"/>
      <c r="B176" s="862"/>
      <c r="C176" s="862"/>
      <c r="D176" s="862"/>
      <c r="E176" s="863"/>
    </row>
    <row r="177" spans="1:5" ht="12.75">
      <c r="A177" s="864" t="s">
        <v>631</v>
      </c>
      <c r="B177" s="865"/>
      <c r="C177" s="862"/>
      <c r="D177" s="862"/>
      <c r="E177" s="863"/>
    </row>
    <row r="178" spans="1:5" ht="12.75">
      <c r="A178" s="866" t="s">
        <v>633</v>
      </c>
      <c r="B178" s="867"/>
      <c r="C178" s="867"/>
      <c r="D178" s="867"/>
      <c r="E178" s="868"/>
    </row>
    <row r="179" spans="1:5" ht="13.5" thickBot="1">
      <c r="A179" s="890" t="s">
        <v>632</v>
      </c>
      <c r="B179" s="890"/>
      <c r="C179" s="890"/>
      <c r="D179" s="890"/>
      <c r="E179" s="891"/>
    </row>
    <row r="180" spans="1:5" ht="12.75">
      <c r="A180" s="499" t="s">
        <v>202</v>
      </c>
      <c r="B180" s="73" t="s">
        <v>203</v>
      </c>
      <c r="C180" s="499" t="s">
        <v>204</v>
      </c>
      <c r="D180" s="502"/>
      <c r="E180" s="73"/>
    </row>
    <row r="181" spans="1:5" ht="12.75">
      <c r="A181" s="500"/>
      <c r="B181" s="74"/>
      <c r="C181" s="500"/>
      <c r="D181" s="503"/>
      <c r="E181" s="74">
        <v>2018</v>
      </c>
    </row>
    <row r="182" spans="1:5" ht="13.5" thickBot="1">
      <c r="A182" s="501"/>
      <c r="B182" s="75" t="s">
        <v>205</v>
      </c>
      <c r="C182" s="501"/>
      <c r="D182" s="504"/>
      <c r="E182" s="76"/>
    </row>
    <row r="183" spans="1:5" ht="12.75">
      <c r="A183" s="494" t="s">
        <v>629</v>
      </c>
      <c r="B183" s="872" t="s">
        <v>581</v>
      </c>
      <c r="C183" s="494" t="s">
        <v>620</v>
      </c>
      <c r="D183" s="315" t="s">
        <v>206</v>
      </c>
      <c r="E183" s="885">
        <v>1</v>
      </c>
    </row>
    <row r="184" spans="1:5" ht="13.5" thickBot="1">
      <c r="A184" s="495"/>
      <c r="B184" s="873" t="s">
        <v>634</v>
      </c>
      <c r="C184" s="495"/>
      <c r="D184" s="316" t="s">
        <v>60</v>
      </c>
      <c r="E184" s="875">
        <v>40000</v>
      </c>
    </row>
    <row r="185" spans="1:5" ht="12.75">
      <c r="A185" s="494" t="s">
        <v>587</v>
      </c>
      <c r="B185" s="872" t="s">
        <v>635</v>
      </c>
      <c r="C185" s="494" t="s">
        <v>13</v>
      </c>
      <c r="D185" s="315" t="s">
        <v>206</v>
      </c>
      <c r="E185" s="874" t="s">
        <v>636</v>
      </c>
    </row>
    <row r="186" spans="1:5" ht="13.5" thickBot="1">
      <c r="A186" s="495"/>
      <c r="B186" s="873" t="s">
        <v>612</v>
      </c>
      <c r="C186" s="495"/>
      <c r="D186" s="316" t="s">
        <v>60</v>
      </c>
      <c r="E186" s="876">
        <v>20000</v>
      </c>
    </row>
    <row r="187" spans="1:5" ht="12.75">
      <c r="A187" s="494" t="s">
        <v>579</v>
      </c>
      <c r="B187" s="872" t="s">
        <v>871</v>
      </c>
      <c r="C187" s="494" t="s">
        <v>589</v>
      </c>
      <c r="D187" s="315" t="s">
        <v>206</v>
      </c>
      <c r="E187" s="874"/>
    </row>
    <row r="188" spans="1:5" ht="13.5" thickBot="1">
      <c r="A188" s="495"/>
      <c r="B188" s="873" t="s">
        <v>637</v>
      </c>
      <c r="C188" s="495"/>
      <c r="D188" s="316" t="s">
        <v>60</v>
      </c>
      <c r="E188" s="887">
        <v>4000</v>
      </c>
    </row>
    <row r="189" spans="1:5" ht="24">
      <c r="A189" s="494" t="s">
        <v>587</v>
      </c>
      <c r="B189" s="884" t="s">
        <v>638</v>
      </c>
      <c r="C189" s="494" t="s">
        <v>13</v>
      </c>
      <c r="D189" s="318" t="s">
        <v>206</v>
      </c>
      <c r="E189" s="892">
        <v>0.25</v>
      </c>
    </row>
    <row r="190" spans="1:5" ht="13.5" thickBot="1">
      <c r="A190" s="495"/>
      <c r="B190" s="884" t="s">
        <v>612</v>
      </c>
      <c r="C190" s="495"/>
      <c r="D190" s="319" t="s">
        <v>60</v>
      </c>
      <c r="E190" s="889">
        <v>5000</v>
      </c>
    </row>
    <row r="191" spans="1:5" ht="12.75">
      <c r="A191" s="494" t="s">
        <v>587</v>
      </c>
      <c r="B191" s="872" t="s">
        <v>639</v>
      </c>
      <c r="C191" s="494" t="s">
        <v>13</v>
      </c>
      <c r="D191" s="315" t="s">
        <v>206</v>
      </c>
      <c r="E191" s="893">
        <v>0.25</v>
      </c>
    </row>
    <row r="192" spans="1:5" ht="13.5" thickBot="1">
      <c r="A192" s="495"/>
      <c r="B192" s="873" t="s">
        <v>612</v>
      </c>
      <c r="C192" s="495"/>
      <c r="D192" s="316" t="s">
        <v>60</v>
      </c>
      <c r="E192" s="875">
        <v>10000</v>
      </c>
    </row>
    <row r="193" spans="1:5" ht="12.75">
      <c r="A193" s="494"/>
      <c r="B193" s="494"/>
      <c r="C193" s="494"/>
      <c r="D193" s="315" t="s">
        <v>206</v>
      </c>
      <c r="E193" s="494"/>
    </row>
    <row r="194" spans="1:5" ht="13.5" thickBot="1">
      <c r="A194" s="495"/>
      <c r="B194" s="495"/>
      <c r="C194" s="495"/>
      <c r="D194" s="316" t="s">
        <v>60</v>
      </c>
      <c r="E194" s="495"/>
    </row>
    <row r="195" spans="1:5" ht="12.75">
      <c r="A195" s="494"/>
      <c r="B195" s="494"/>
      <c r="C195" s="494"/>
      <c r="D195" s="315" t="s">
        <v>206</v>
      </c>
      <c r="E195" s="494"/>
    </row>
    <row r="196" spans="1:5" ht="13.5" thickBot="1">
      <c r="A196" s="495"/>
      <c r="B196" s="495"/>
      <c r="C196" s="495"/>
      <c r="D196" s="315" t="s">
        <v>60</v>
      </c>
      <c r="E196" s="495"/>
    </row>
    <row r="197" spans="1:5" ht="13.5" thickBot="1">
      <c r="A197" s="496" t="s">
        <v>207</v>
      </c>
      <c r="B197" s="497"/>
      <c r="C197" s="497"/>
      <c r="D197" s="498"/>
      <c r="E197" s="317">
        <f>E184+E186+E188+E190+E192</f>
        <v>79000</v>
      </c>
    </row>
    <row r="198" spans="1:5" ht="12.75">
      <c r="A198" s="877" t="s">
        <v>208</v>
      </c>
      <c r="B198" s="877" t="s">
        <v>209</v>
      </c>
      <c r="C198" s="878"/>
      <c r="D198" s="878"/>
      <c r="E198" s="878"/>
    </row>
    <row r="202" spans="1:5" ht="16.5" thickBot="1">
      <c r="A202" s="508" t="s">
        <v>563</v>
      </c>
      <c r="B202" s="509"/>
      <c r="C202" s="509"/>
      <c r="D202" s="509"/>
      <c r="E202" s="509"/>
    </row>
    <row r="203" spans="1:5" ht="12.75">
      <c r="A203" s="858" t="s">
        <v>201</v>
      </c>
      <c r="B203" s="859"/>
      <c r="C203" s="859"/>
      <c r="D203" s="859"/>
      <c r="E203" s="860"/>
    </row>
    <row r="204" spans="1:5" ht="12.75">
      <c r="A204" s="861"/>
      <c r="B204" s="862"/>
      <c r="C204" s="862"/>
      <c r="D204" s="862"/>
      <c r="E204" s="863"/>
    </row>
    <row r="205" spans="1:7" ht="12.75">
      <c r="A205" s="864" t="s">
        <v>640</v>
      </c>
      <c r="B205" s="865"/>
      <c r="C205" s="862"/>
      <c r="D205" s="862"/>
      <c r="E205" s="863"/>
      <c r="G205" s="77"/>
    </row>
    <row r="206" spans="1:7" ht="12.75">
      <c r="A206" s="894" t="s">
        <v>641</v>
      </c>
      <c r="B206" s="867"/>
      <c r="C206" s="867"/>
      <c r="D206" s="867"/>
      <c r="E206" s="868"/>
      <c r="G206" s="77"/>
    </row>
    <row r="207" spans="1:5" ht="13.5" thickBot="1">
      <c r="A207" s="882" t="s">
        <v>642</v>
      </c>
      <c r="B207" s="890"/>
      <c r="C207" s="890"/>
      <c r="D207" s="890"/>
      <c r="E207" s="891"/>
    </row>
    <row r="208" spans="1:8" ht="12.75">
      <c r="A208" s="499" t="s">
        <v>202</v>
      </c>
      <c r="B208" s="73" t="s">
        <v>203</v>
      </c>
      <c r="C208" s="499" t="s">
        <v>204</v>
      </c>
      <c r="D208" s="502"/>
      <c r="E208" s="73"/>
      <c r="H208" s="188"/>
    </row>
    <row r="209" spans="1:5" ht="12.75">
      <c r="A209" s="500"/>
      <c r="B209" s="74"/>
      <c r="C209" s="500"/>
      <c r="D209" s="503"/>
      <c r="E209" s="74">
        <v>2018</v>
      </c>
    </row>
    <row r="210" spans="1:5" ht="13.5" thickBot="1">
      <c r="A210" s="501"/>
      <c r="B210" s="75" t="s">
        <v>205</v>
      </c>
      <c r="C210" s="501"/>
      <c r="D210" s="504"/>
      <c r="E210" s="76"/>
    </row>
    <row r="211" spans="1:5" ht="12.75">
      <c r="A211" s="494" t="s">
        <v>643</v>
      </c>
      <c r="B211" s="872" t="s">
        <v>644</v>
      </c>
      <c r="C211" s="494" t="s">
        <v>13</v>
      </c>
      <c r="D211" s="315" t="s">
        <v>206</v>
      </c>
      <c r="E211" s="874" t="s">
        <v>645</v>
      </c>
    </row>
    <row r="212" spans="1:5" ht="13.5" thickBot="1">
      <c r="A212" s="495"/>
      <c r="B212" s="873" t="s">
        <v>612</v>
      </c>
      <c r="C212" s="495"/>
      <c r="D212" s="316" t="s">
        <v>60</v>
      </c>
      <c r="E212" s="875">
        <v>10000</v>
      </c>
    </row>
    <row r="213" spans="1:5" ht="12.75">
      <c r="A213" s="494"/>
      <c r="B213" s="872"/>
      <c r="C213" s="494"/>
      <c r="D213" s="315" t="s">
        <v>206</v>
      </c>
      <c r="E213" s="874"/>
    </row>
    <row r="214" spans="1:5" ht="13.5" thickBot="1">
      <c r="A214" s="495"/>
      <c r="B214" s="873"/>
      <c r="C214" s="495"/>
      <c r="D214" s="316" t="s">
        <v>60</v>
      </c>
      <c r="E214" s="876"/>
    </row>
    <row r="215" spans="1:5" ht="12.75">
      <c r="A215" s="494"/>
      <c r="B215" s="872"/>
      <c r="C215" s="494"/>
      <c r="D215" s="315" t="s">
        <v>206</v>
      </c>
      <c r="E215" s="874"/>
    </row>
    <row r="216" spans="1:5" ht="13.5" thickBot="1">
      <c r="A216" s="495"/>
      <c r="B216" s="873"/>
      <c r="C216" s="495"/>
      <c r="D216" s="316" t="s">
        <v>60</v>
      </c>
      <c r="E216" s="887"/>
    </row>
    <row r="217" spans="1:5" ht="12.75">
      <c r="A217" s="494"/>
      <c r="B217" s="884"/>
      <c r="C217" s="494"/>
      <c r="D217" s="318" t="s">
        <v>206</v>
      </c>
      <c r="E217" s="892"/>
    </row>
    <row r="218" spans="1:5" ht="13.5" thickBot="1">
      <c r="A218" s="495"/>
      <c r="B218" s="884"/>
      <c r="C218" s="495"/>
      <c r="D218" s="319" t="s">
        <v>60</v>
      </c>
      <c r="E218" s="889"/>
    </row>
    <row r="219" spans="1:5" ht="12.75">
      <c r="A219" s="494"/>
      <c r="B219" s="872"/>
      <c r="C219" s="494"/>
      <c r="D219" s="315" t="s">
        <v>206</v>
      </c>
      <c r="E219" s="893"/>
    </row>
    <row r="220" spans="1:5" ht="13.5" thickBot="1">
      <c r="A220" s="495"/>
      <c r="B220" s="873"/>
      <c r="C220" s="495"/>
      <c r="D220" s="316" t="s">
        <v>60</v>
      </c>
      <c r="E220" s="875"/>
    </row>
    <row r="221" spans="1:5" ht="12.75">
      <c r="A221" s="494"/>
      <c r="B221" s="494"/>
      <c r="C221" s="494"/>
      <c r="D221" s="315" t="s">
        <v>206</v>
      </c>
      <c r="E221" s="494"/>
    </row>
    <row r="222" spans="1:5" ht="13.5" thickBot="1">
      <c r="A222" s="495"/>
      <c r="B222" s="495"/>
      <c r="C222" s="495"/>
      <c r="D222" s="316" t="s">
        <v>60</v>
      </c>
      <c r="E222" s="495"/>
    </row>
    <row r="223" spans="1:5" ht="12.75">
      <c r="A223" s="494"/>
      <c r="B223" s="494"/>
      <c r="C223" s="494"/>
      <c r="D223" s="315" t="s">
        <v>206</v>
      </c>
      <c r="E223" s="494"/>
    </row>
    <row r="224" spans="1:5" ht="13.5" thickBot="1">
      <c r="A224" s="495"/>
      <c r="B224" s="495"/>
      <c r="C224" s="495"/>
      <c r="D224" s="316" t="s">
        <v>60</v>
      </c>
      <c r="E224" s="495"/>
    </row>
    <row r="225" spans="1:5" ht="12.75">
      <c r="A225" s="494"/>
      <c r="B225" s="494"/>
      <c r="C225" s="494"/>
      <c r="D225" s="315" t="s">
        <v>206</v>
      </c>
      <c r="E225" s="494"/>
    </row>
    <row r="226" spans="1:5" ht="13.5" thickBot="1">
      <c r="A226" s="495"/>
      <c r="B226" s="495"/>
      <c r="C226" s="495"/>
      <c r="D226" s="315" t="s">
        <v>60</v>
      </c>
      <c r="E226" s="495"/>
    </row>
    <row r="227" spans="1:5" ht="13.5" thickBot="1">
      <c r="A227" s="496" t="s">
        <v>207</v>
      </c>
      <c r="B227" s="497"/>
      <c r="C227" s="497"/>
      <c r="D227" s="498"/>
      <c r="E227" s="317">
        <f>E212+E216+E218</f>
        <v>10000</v>
      </c>
    </row>
    <row r="228" spans="1:5" ht="12.75">
      <c r="A228" s="877" t="s">
        <v>208</v>
      </c>
      <c r="B228" s="877" t="s">
        <v>209</v>
      </c>
      <c r="C228" s="878"/>
      <c r="D228" s="878"/>
      <c r="E228" s="878"/>
    </row>
    <row r="232" spans="1:5" ht="16.5" thickBot="1">
      <c r="A232" s="508" t="s">
        <v>563</v>
      </c>
      <c r="B232" s="509"/>
      <c r="C232" s="509"/>
      <c r="D232" s="509"/>
      <c r="E232" s="509"/>
    </row>
    <row r="233" spans="1:5" ht="12.75">
      <c r="A233" s="858" t="s">
        <v>201</v>
      </c>
      <c r="B233" s="859"/>
      <c r="C233" s="859"/>
      <c r="D233" s="859"/>
      <c r="E233" s="860"/>
    </row>
    <row r="234" spans="1:5" ht="12.75">
      <c r="A234" s="861"/>
      <c r="B234" s="862"/>
      <c r="C234" s="862"/>
      <c r="D234" s="862"/>
      <c r="E234" s="863"/>
    </row>
    <row r="235" spans="1:5" ht="12.75">
      <c r="A235" s="864" t="s">
        <v>646</v>
      </c>
      <c r="B235" s="865"/>
      <c r="C235" s="862"/>
      <c r="D235" s="862"/>
      <c r="E235" s="863"/>
    </row>
    <row r="236" spans="1:5" ht="24" customHeight="1">
      <c r="A236" s="894" t="s">
        <v>652</v>
      </c>
      <c r="B236" s="867"/>
      <c r="C236" s="867"/>
      <c r="D236" s="867"/>
      <c r="E236" s="868"/>
    </row>
    <row r="237" spans="1:5" ht="2.25" customHeight="1" thickBot="1">
      <c r="A237" s="505"/>
      <c r="B237" s="506"/>
      <c r="C237" s="506"/>
      <c r="D237" s="506"/>
      <c r="E237" s="507"/>
    </row>
    <row r="238" spans="1:5" ht="12.75">
      <c r="A238" s="499" t="s">
        <v>202</v>
      </c>
      <c r="B238" s="73" t="s">
        <v>203</v>
      </c>
      <c r="C238" s="499" t="s">
        <v>204</v>
      </c>
      <c r="D238" s="502"/>
      <c r="E238" s="73"/>
    </row>
    <row r="239" spans="1:5" ht="12.75">
      <c r="A239" s="500"/>
      <c r="B239" s="74"/>
      <c r="C239" s="500"/>
      <c r="D239" s="503"/>
      <c r="E239" s="74">
        <v>2018</v>
      </c>
    </row>
    <row r="240" spans="1:5" ht="13.5" thickBot="1">
      <c r="A240" s="501"/>
      <c r="B240" s="75" t="s">
        <v>205</v>
      </c>
      <c r="C240" s="501"/>
      <c r="D240" s="504"/>
      <c r="E240" s="76"/>
    </row>
    <row r="241" spans="1:5" ht="12.75">
      <c r="A241" s="494" t="s">
        <v>587</v>
      </c>
      <c r="B241" s="872" t="s">
        <v>653</v>
      </c>
      <c r="C241" s="494" t="s">
        <v>601</v>
      </c>
      <c r="D241" s="315" t="s">
        <v>206</v>
      </c>
      <c r="E241" s="874" t="s">
        <v>655</v>
      </c>
    </row>
    <row r="242" spans="1:5" ht="13.5" thickBot="1">
      <c r="A242" s="495"/>
      <c r="B242" s="873" t="s">
        <v>654</v>
      </c>
      <c r="C242" s="495"/>
      <c r="D242" s="316" t="s">
        <v>60</v>
      </c>
      <c r="E242" s="875">
        <v>150000</v>
      </c>
    </row>
    <row r="243" spans="1:5" ht="12.75">
      <c r="A243" s="494"/>
      <c r="B243" s="872"/>
      <c r="C243" s="494"/>
      <c r="D243" s="315" t="s">
        <v>206</v>
      </c>
      <c r="E243" s="874"/>
    </row>
    <row r="244" spans="1:5" ht="13.5" thickBot="1">
      <c r="A244" s="495"/>
      <c r="B244" s="873"/>
      <c r="C244" s="495"/>
      <c r="D244" s="316" t="s">
        <v>60</v>
      </c>
      <c r="E244" s="876"/>
    </row>
    <row r="245" spans="1:5" ht="12.75">
      <c r="A245" s="494"/>
      <c r="B245" s="872"/>
      <c r="C245" s="494"/>
      <c r="D245" s="315" t="s">
        <v>206</v>
      </c>
      <c r="E245" s="874"/>
    </row>
    <row r="246" spans="1:5" ht="13.5" thickBot="1">
      <c r="A246" s="495"/>
      <c r="B246" s="873"/>
      <c r="C246" s="495"/>
      <c r="D246" s="316" t="s">
        <v>60</v>
      </c>
      <c r="E246" s="887"/>
    </row>
    <row r="247" spans="1:5" ht="12.75">
      <c r="A247" s="494"/>
      <c r="B247" s="494"/>
      <c r="C247" s="494"/>
      <c r="D247" s="315" t="s">
        <v>206</v>
      </c>
      <c r="E247" s="494"/>
    </row>
    <row r="248" spans="1:5" ht="13.5" thickBot="1">
      <c r="A248" s="495"/>
      <c r="B248" s="495"/>
      <c r="C248" s="495"/>
      <c r="D248" s="316" t="s">
        <v>60</v>
      </c>
      <c r="E248" s="495"/>
    </row>
    <row r="249" spans="1:5" ht="12.75">
      <c r="A249" s="494"/>
      <c r="B249" s="494"/>
      <c r="C249" s="494"/>
      <c r="D249" s="315" t="s">
        <v>206</v>
      </c>
      <c r="E249" s="494"/>
    </row>
    <row r="250" spans="1:5" ht="13.5" thickBot="1">
      <c r="A250" s="495"/>
      <c r="B250" s="495"/>
      <c r="C250" s="495"/>
      <c r="D250" s="316" t="s">
        <v>60</v>
      </c>
      <c r="E250" s="495"/>
    </row>
    <row r="251" spans="1:5" ht="12.75">
      <c r="A251" s="494"/>
      <c r="B251" s="494"/>
      <c r="C251" s="494"/>
      <c r="D251" s="315" t="s">
        <v>206</v>
      </c>
      <c r="E251" s="494"/>
    </row>
    <row r="252" spans="1:5" ht="13.5" thickBot="1">
      <c r="A252" s="495"/>
      <c r="B252" s="495"/>
      <c r="C252" s="495"/>
      <c r="D252" s="316" t="s">
        <v>60</v>
      </c>
      <c r="E252" s="495"/>
    </row>
    <row r="253" spans="1:5" ht="12.75">
      <c r="A253" s="494"/>
      <c r="B253" s="494"/>
      <c r="C253" s="494"/>
      <c r="D253" s="315" t="s">
        <v>206</v>
      </c>
      <c r="E253" s="494"/>
    </row>
    <row r="254" spans="1:5" ht="13.5" thickBot="1">
      <c r="A254" s="495"/>
      <c r="B254" s="495"/>
      <c r="C254" s="495"/>
      <c r="D254" s="315" t="s">
        <v>60</v>
      </c>
      <c r="E254" s="495"/>
    </row>
    <row r="255" spans="1:5" ht="13.5" thickBot="1">
      <c r="A255" s="496" t="s">
        <v>207</v>
      </c>
      <c r="B255" s="497"/>
      <c r="C255" s="497"/>
      <c r="D255" s="498"/>
      <c r="E255" s="317">
        <f>E242+E246</f>
        <v>150000</v>
      </c>
    </row>
    <row r="256" spans="1:2" s="878" customFormat="1" ht="12.75">
      <c r="A256" s="877" t="s">
        <v>208</v>
      </c>
      <c r="B256" s="877" t="s">
        <v>209</v>
      </c>
    </row>
    <row r="259" spans="1:5" ht="16.5" thickBot="1">
      <c r="A259" s="508" t="s">
        <v>563</v>
      </c>
      <c r="B259" s="509"/>
      <c r="C259" s="509"/>
      <c r="D259" s="509"/>
      <c r="E259" s="509"/>
    </row>
    <row r="260" spans="1:5" ht="12.75">
      <c r="A260" s="858" t="s">
        <v>201</v>
      </c>
      <c r="B260" s="859"/>
      <c r="C260" s="859"/>
      <c r="D260" s="859"/>
      <c r="E260" s="860"/>
    </row>
    <row r="261" spans="1:5" ht="12.75">
      <c r="A261" s="861"/>
      <c r="B261" s="862"/>
      <c r="C261" s="862"/>
      <c r="D261" s="862"/>
      <c r="E261" s="863"/>
    </row>
    <row r="262" spans="1:5" ht="12.75">
      <c r="A262" s="864" t="s">
        <v>646</v>
      </c>
      <c r="B262" s="865"/>
      <c r="C262" s="862"/>
      <c r="D262" s="862"/>
      <c r="E262" s="863"/>
    </row>
    <row r="263" spans="1:5" ht="12.75">
      <c r="A263" s="894" t="s">
        <v>647</v>
      </c>
      <c r="B263" s="867"/>
      <c r="C263" s="867"/>
      <c r="D263" s="867"/>
      <c r="E263" s="868"/>
    </row>
    <row r="264" spans="1:5" ht="13.5" thickBot="1">
      <c r="A264" s="505"/>
      <c r="B264" s="506"/>
      <c r="C264" s="506"/>
      <c r="D264" s="506"/>
      <c r="E264" s="507"/>
    </row>
    <row r="265" spans="1:5" ht="12.75">
      <c r="A265" s="499" t="s">
        <v>202</v>
      </c>
      <c r="B265" s="73" t="s">
        <v>203</v>
      </c>
      <c r="C265" s="499" t="s">
        <v>204</v>
      </c>
      <c r="D265" s="502"/>
      <c r="E265" s="73"/>
    </row>
    <row r="266" spans="1:5" ht="12.75">
      <c r="A266" s="500"/>
      <c r="B266" s="74"/>
      <c r="C266" s="500"/>
      <c r="D266" s="503"/>
      <c r="E266" s="74">
        <v>2018</v>
      </c>
    </row>
    <row r="267" spans="1:5" ht="13.5" thickBot="1">
      <c r="A267" s="501"/>
      <c r="B267" s="75" t="s">
        <v>205</v>
      </c>
      <c r="C267" s="501"/>
      <c r="D267" s="504"/>
      <c r="E267" s="76"/>
    </row>
    <row r="268" spans="1:5" ht="12.75">
      <c r="A268" s="494" t="s">
        <v>643</v>
      </c>
      <c r="B268" s="872" t="s">
        <v>648</v>
      </c>
      <c r="C268" s="494" t="s">
        <v>13</v>
      </c>
      <c r="D268" s="315" t="s">
        <v>206</v>
      </c>
      <c r="E268" s="874" t="s">
        <v>636</v>
      </c>
    </row>
    <row r="269" spans="1:5" ht="13.5" thickBot="1">
      <c r="A269" s="495"/>
      <c r="B269" s="873" t="s">
        <v>612</v>
      </c>
      <c r="C269" s="495"/>
      <c r="D269" s="316" t="s">
        <v>60</v>
      </c>
      <c r="E269" s="875">
        <v>100000</v>
      </c>
    </row>
    <row r="270" spans="1:5" ht="12.75">
      <c r="A270" s="494" t="s">
        <v>643</v>
      </c>
      <c r="B270" s="872" t="s">
        <v>649</v>
      </c>
      <c r="C270" s="494" t="s">
        <v>13</v>
      </c>
      <c r="D270" s="315" t="s">
        <v>206</v>
      </c>
      <c r="E270" s="874" t="s">
        <v>650</v>
      </c>
    </row>
    <row r="271" spans="1:5" ht="13.5" thickBot="1">
      <c r="A271" s="495"/>
      <c r="B271" s="873" t="s">
        <v>612</v>
      </c>
      <c r="C271" s="495"/>
      <c r="D271" s="316" t="s">
        <v>60</v>
      </c>
      <c r="E271" s="876">
        <v>50000</v>
      </c>
    </row>
    <row r="272" spans="1:5" ht="12.75">
      <c r="A272" s="494" t="s">
        <v>643</v>
      </c>
      <c r="B272" s="872" t="s">
        <v>651</v>
      </c>
      <c r="C272" s="494" t="s">
        <v>13</v>
      </c>
      <c r="D272" s="315" t="s">
        <v>206</v>
      </c>
      <c r="E272" s="874" t="s">
        <v>650</v>
      </c>
    </row>
    <row r="273" spans="1:5" ht="13.5" thickBot="1">
      <c r="A273" s="495"/>
      <c r="B273" s="873" t="s">
        <v>612</v>
      </c>
      <c r="C273" s="495"/>
      <c r="D273" s="316" t="s">
        <v>60</v>
      </c>
      <c r="E273" s="887">
        <v>50000</v>
      </c>
    </row>
    <row r="274" spans="1:5" ht="12.75">
      <c r="A274" s="494"/>
      <c r="B274" s="884"/>
      <c r="C274" s="494"/>
      <c r="D274" s="318" t="s">
        <v>206</v>
      </c>
      <c r="E274" s="892"/>
    </row>
    <row r="275" spans="1:5" ht="13.5" thickBot="1">
      <c r="A275" s="495"/>
      <c r="B275" s="884"/>
      <c r="C275" s="495"/>
      <c r="D275" s="319" t="s">
        <v>60</v>
      </c>
      <c r="E275" s="889"/>
    </row>
    <row r="276" spans="1:5" ht="12.75">
      <c r="A276" s="494"/>
      <c r="B276" s="494"/>
      <c r="C276" s="494"/>
      <c r="D276" s="315" t="s">
        <v>206</v>
      </c>
      <c r="E276" s="494"/>
    </row>
    <row r="277" spans="1:5" ht="13.5" thickBot="1">
      <c r="A277" s="495"/>
      <c r="B277" s="495"/>
      <c r="C277" s="495"/>
      <c r="D277" s="316" t="s">
        <v>60</v>
      </c>
      <c r="E277" s="495"/>
    </row>
    <row r="278" spans="1:5" ht="12.75">
      <c r="A278" s="494"/>
      <c r="B278" s="494"/>
      <c r="C278" s="494"/>
      <c r="D278" s="315" t="s">
        <v>206</v>
      </c>
      <c r="E278" s="494"/>
    </row>
    <row r="279" spans="1:5" ht="13.5" thickBot="1">
      <c r="A279" s="495"/>
      <c r="B279" s="495"/>
      <c r="C279" s="495"/>
      <c r="D279" s="316" t="s">
        <v>60</v>
      </c>
      <c r="E279" s="495"/>
    </row>
    <row r="280" spans="1:5" ht="12.75">
      <c r="A280" s="494"/>
      <c r="B280" s="494"/>
      <c r="C280" s="494"/>
      <c r="D280" s="315" t="s">
        <v>206</v>
      </c>
      <c r="E280" s="494"/>
    </row>
    <row r="281" spans="1:5" ht="13.5" thickBot="1">
      <c r="A281" s="495"/>
      <c r="B281" s="495"/>
      <c r="C281" s="495"/>
      <c r="D281" s="316" t="s">
        <v>60</v>
      </c>
      <c r="E281" s="495"/>
    </row>
    <row r="282" spans="1:5" ht="12.75">
      <c r="A282" s="494"/>
      <c r="B282" s="494"/>
      <c r="C282" s="494"/>
      <c r="D282" s="315" t="s">
        <v>206</v>
      </c>
      <c r="E282" s="494"/>
    </row>
    <row r="283" spans="1:5" ht="13.5" thickBot="1">
      <c r="A283" s="495"/>
      <c r="B283" s="495"/>
      <c r="C283" s="495"/>
      <c r="D283" s="315" t="s">
        <v>60</v>
      </c>
      <c r="E283" s="495"/>
    </row>
    <row r="284" spans="1:5" ht="13.5" thickBot="1">
      <c r="A284" s="496" t="s">
        <v>207</v>
      </c>
      <c r="B284" s="497"/>
      <c r="C284" s="497"/>
      <c r="D284" s="498"/>
      <c r="E284" s="317">
        <f>E269+E273+E275+E271</f>
        <v>200000</v>
      </c>
    </row>
    <row r="285" spans="1:2" s="878" customFormat="1" ht="12.75">
      <c r="A285" s="877" t="s">
        <v>208</v>
      </c>
      <c r="B285" s="877" t="s">
        <v>209</v>
      </c>
    </row>
    <row r="289" spans="1:5" ht="16.5" thickBot="1">
      <c r="A289" s="508" t="s">
        <v>563</v>
      </c>
      <c r="B289" s="509"/>
      <c r="C289" s="509"/>
      <c r="D289" s="509"/>
      <c r="E289" s="509"/>
    </row>
    <row r="290" spans="1:5" ht="12.75">
      <c r="A290" s="858" t="s">
        <v>201</v>
      </c>
      <c r="B290" s="859"/>
      <c r="C290" s="859"/>
      <c r="D290" s="859"/>
      <c r="E290" s="860"/>
    </row>
    <row r="291" spans="1:5" ht="12.75">
      <c r="A291" s="861"/>
      <c r="B291" s="862"/>
      <c r="C291" s="862"/>
      <c r="D291" s="862"/>
      <c r="E291" s="863"/>
    </row>
    <row r="292" spans="1:5" ht="12.75">
      <c r="A292" s="864" t="s">
        <v>656</v>
      </c>
      <c r="B292" s="865"/>
      <c r="C292" s="862"/>
      <c r="D292" s="862"/>
      <c r="E292" s="863"/>
    </row>
    <row r="293" spans="1:5" ht="39.75" customHeight="1">
      <c r="A293" s="894" t="s">
        <v>657</v>
      </c>
      <c r="B293" s="867"/>
      <c r="C293" s="867"/>
      <c r="D293" s="867"/>
      <c r="E293" s="868"/>
    </row>
    <row r="294" spans="1:5" ht="1.5" customHeight="1" thickBot="1">
      <c r="A294" s="505"/>
      <c r="B294" s="506"/>
      <c r="C294" s="506"/>
      <c r="D294" s="506"/>
      <c r="E294" s="507"/>
    </row>
    <row r="295" spans="1:5" ht="12.75">
      <c r="A295" s="499" t="s">
        <v>202</v>
      </c>
      <c r="B295" s="73" t="s">
        <v>203</v>
      </c>
      <c r="C295" s="499" t="s">
        <v>204</v>
      </c>
      <c r="D295" s="502"/>
      <c r="E295" s="73"/>
    </row>
    <row r="296" spans="1:5" ht="12.75">
      <c r="A296" s="500"/>
      <c r="B296" s="74"/>
      <c r="C296" s="500"/>
      <c r="D296" s="503"/>
      <c r="E296" s="74">
        <v>2018</v>
      </c>
    </row>
    <row r="297" spans="1:5" ht="13.5" thickBot="1">
      <c r="A297" s="501"/>
      <c r="B297" s="75" t="s">
        <v>205</v>
      </c>
      <c r="C297" s="501"/>
      <c r="D297" s="504"/>
      <c r="E297" s="76"/>
    </row>
    <row r="298" spans="1:5" ht="12.75">
      <c r="A298" s="494" t="s">
        <v>587</v>
      </c>
      <c r="B298" s="872" t="s">
        <v>658</v>
      </c>
      <c r="C298" s="494" t="s">
        <v>585</v>
      </c>
      <c r="D298" s="315" t="s">
        <v>206</v>
      </c>
      <c r="E298" s="874" t="s">
        <v>617</v>
      </c>
    </row>
    <row r="299" spans="1:5" ht="13.5" thickBot="1">
      <c r="A299" s="495"/>
      <c r="B299" s="873" t="s">
        <v>659</v>
      </c>
      <c r="C299" s="495"/>
      <c r="D299" s="316" t="s">
        <v>60</v>
      </c>
      <c r="E299" s="875">
        <v>5000</v>
      </c>
    </row>
    <row r="300" spans="1:5" ht="12.75">
      <c r="A300" s="494" t="s">
        <v>579</v>
      </c>
      <c r="B300" s="872" t="s">
        <v>660</v>
      </c>
      <c r="C300" s="494" t="s">
        <v>585</v>
      </c>
      <c r="D300" s="315" t="s">
        <v>206</v>
      </c>
      <c r="E300" s="874" t="s">
        <v>617</v>
      </c>
    </row>
    <row r="301" spans="1:5" ht="13.5" thickBot="1">
      <c r="A301" s="495"/>
      <c r="B301" s="873" t="s">
        <v>659</v>
      </c>
      <c r="C301" s="495"/>
      <c r="D301" s="316" t="s">
        <v>60</v>
      </c>
      <c r="E301" s="876">
        <v>2000</v>
      </c>
    </row>
    <row r="302" spans="1:5" ht="12.75">
      <c r="A302" s="494" t="s">
        <v>587</v>
      </c>
      <c r="B302" s="872" t="s">
        <v>661</v>
      </c>
      <c r="C302" s="494" t="s">
        <v>585</v>
      </c>
      <c r="D302" s="315" t="s">
        <v>206</v>
      </c>
      <c r="E302" s="874" t="s">
        <v>617</v>
      </c>
    </row>
    <row r="303" spans="1:5" ht="13.5" thickBot="1">
      <c r="A303" s="495"/>
      <c r="B303" s="873" t="s">
        <v>659</v>
      </c>
      <c r="C303" s="495"/>
      <c r="D303" s="316" t="s">
        <v>60</v>
      </c>
      <c r="E303" s="887">
        <v>3000</v>
      </c>
    </row>
    <row r="304" spans="1:5" ht="12.75">
      <c r="A304" s="494" t="s">
        <v>587</v>
      </c>
      <c r="B304" s="884" t="s">
        <v>662</v>
      </c>
      <c r="C304" s="494" t="s">
        <v>585</v>
      </c>
      <c r="D304" s="318" t="s">
        <v>206</v>
      </c>
      <c r="E304" s="895" t="s">
        <v>664</v>
      </c>
    </row>
    <row r="305" spans="1:5" ht="13.5" thickBot="1">
      <c r="A305" s="495"/>
      <c r="B305" s="884" t="s">
        <v>663</v>
      </c>
      <c r="C305" s="495"/>
      <c r="D305" s="319" t="s">
        <v>60</v>
      </c>
      <c r="E305" s="889">
        <v>5000</v>
      </c>
    </row>
    <row r="306" spans="1:5" ht="12.75">
      <c r="A306" s="494" t="s">
        <v>587</v>
      </c>
      <c r="B306" s="872" t="s">
        <v>665</v>
      </c>
      <c r="C306" s="494" t="s">
        <v>585</v>
      </c>
      <c r="D306" s="315" t="s">
        <v>206</v>
      </c>
      <c r="E306" s="896" t="s">
        <v>617</v>
      </c>
    </row>
    <row r="307" spans="1:5" ht="13.5" thickBot="1">
      <c r="A307" s="495"/>
      <c r="B307" s="873" t="s">
        <v>659</v>
      </c>
      <c r="C307" s="495"/>
      <c r="D307" s="316" t="s">
        <v>60</v>
      </c>
      <c r="E307" s="875">
        <v>5000</v>
      </c>
    </row>
    <row r="308" spans="1:5" ht="12.75">
      <c r="A308" s="494"/>
      <c r="B308" s="494"/>
      <c r="C308" s="494"/>
      <c r="D308" s="315" t="s">
        <v>206</v>
      </c>
      <c r="E308" s="494"/>
    </row>
    <row r="309" spans="1:5" ht="13.5" thickBot="1">
      <c r="A309" s="495"/>
      <c r="B309" s="495"/>
      <c r="C309" s="495"/>
      <c r="D309" s="316" t="s">
        <v>60</v>
      </c>
      <c r="E309" s="495"/>
    </row>
    <row r="310" spans="1:5" ht="12.75">
      <c r="A310" s="494"/>
      <c r="B310" s="494"/>
      <c r="C310" s="494"/>
      <c r="D310" s="315" t="s">
        <v>206</v>
      </c>
      <c r="E310" s="494"/>
    </row>
    <row r="311" spans="1:5" ht="13.5" thickBot="1">
      <c r="A311" s="495"/>
      <c r="B311" s="495"/>
      <c r="C311" s="495"/>
      <c r="D311" s="316" t="s">
        <v>60</v>
      </c>
      <c r="E311" s="495"/>
    </row>
    <row r="312" spans="1:5" ht="12.75">
      <c r="A312" s="494"/>
      <c r="B312" s="494"/>
      <c r="C312" s="494"/>
      <c r="D312" s="315" t="s">
        <v>206</v>
      </c>
      <c r="E312" s="494"/>
    </row>
    <row r="313" spans="1:5" ht="13.5" thickBot="1">
      <c r="A313" s="495"/>
      <c r="B313" s="495"/>
      <c r="C313" s="495"/>
      <c r="D313" s="315" t="s">
        <v>60</v>
      </c>
      <c r="E313" s="495"/>
    </row>
    <row r="314" spans="1:5" ht="13.5" thickBot="1">
      <c r="A314" s="496" t="s">
        <v>207</v>
      </c>
      <c r="B314" s="497"/>
      <c r="C314" s="497"/>
      <c r="D314" s="498"/>
      <c r="E314" s="317">
        <f>E299+E303+E305+E307+E301</f>
        <v>20000</v>
      </c>
    </row>
    <row r="315" spans="1:2" s="878" customFormat="1" ht="12.75">
      <c r="A315" s="877" t="s">
        <v>208</v>
      </c>
      <c r="B315" s="877" t="s">
        <v>209</v>
      </c>
    </row>
    <row r="319" spans="1:5" ht="16.5" thickBot="1">
      <c r="A319" s="508" t="s">
        <v>563</v>
      </c>
      <c r="B319" s="509"/>
      <c r="C319" s="509"/>
      <c r="D319" s="509"/>
      <c r="E319" s="509"/>
    </row>
    <row r="320" spans="1:5" ht="12.75">
      <c r="A320" s="858" t="s">
        <v>201</v>
      </c>
      <c r="B320" s="859"/>
      <c r="C320" s="859"/>
      <c r="D320" s="859"/>
      <c r="E320" s="860"/>
    </row>
    <row r="321" spans="1:5" ht="12.75">
      <c r="A321" s="861"/>
      <c r="B321" s="862"/>
      <c r="C321" s="862"/>
      <c r="D321" s="862"/>
      <c r="E321" s="863"/>
    </row>
    <row r="322" spans="1:5" ht="12.75">
      <c r="A322" s="864" t="s">
        <v>666</v>
      </c>
      <c r="B322" s="865"/>
      <c r="C322" s="862"/>
      <c r="D322" s="862"/>
      <c r="E322" s="863"/>
    </row>
    <row r="323" spans="1:5" ht="34.5" customHeight="1">
      <c r="A323" s="894" t="s">
        <v>667</v>
      </c>
      <c r="B323" s="867"/>
      <c r="C323" s="867"/>
      <c r="D323" s="867"/>
      <c r="E323" s="868"/>
    </row>
    <row r="324" spans="1:5" ht="0.75" customHeight="1" thickBot="1">
      <c r="A324" s="505"/>
      <c r="B324" s="506"/>
      <c r="C324" s="506"/>
      <c r="D324" s="506"/>
      <c r="E324" s="507"/>
    </row>
    <row r="325" spans="1:5" ht="12.75">
      <c r="A325" s="499" t="s">
        <v>202</v>
      </c>
      <c r="B325" s="73" t="s">
        <v>203</v>
      </c>
      <c r="C325" s="499" t="s">
        <v>204</v>
      </c>
      <c r="D325" s="502"/>
      <c r="E325" s="73"/>
    </row>
    <row r="326" spans="1:5" ht="12.75">
      <c r="A326" s="500"/>
      <c r="B326" s="74"/>
      <c r="C326" s="500"/>
      <c r="D326" s="503"/>
      <c r="E326" s="74">
        <v>2018</v>
      </c>
    </row>
    <row r="327" spans="1:5" ht="13.5" thickBot="1">
      <c r="A327" s="501"/>
      <c r="B327" s="75" t="s">
        <v>205</v>
      </c>
      <c r="C327" s="501"/>
      <c r="D327" s="504"/>
      <c r="E327" s="76"/>
    </row>
    <row r="328" spans="1:5" ht="12.75">
      <c r="A328" s="494" t="s">
        <v>587</v>
      </c>
      <c r="B328" s="872" t="s">
        <v>668</v>
      </c>
      <c r="C328" s="494" t="s">
        <v>670</v>
      </c>
      <c r="D328" s="315" t="s">
        <v>206</v>
      </c>
      <c r="E328" s="874" t="s">
        <v>617</v>
      </c>
    </row>
    <row r="329" spans="1:5" ht="13.5" thickBot="1">
      <c r="A329" s="495"/>
      <c r="B329" s="873" t="s">
        <v>669</v>
      </c>
      <c r="C329" s="495"/>
      <c r="D329" s="316" t="s">
        <v>60</v>
      </c>
      <c r="E329" s="875">
        <v>10000</v>
      </c>
    </row>
    <row r="330" spans="1:5" ht="12.75">
      <c r="A330" s="494" t="s">
        <v>587</v>
      </c>
      <c r="B330" s="872" t="s">
        <v>671</v>
      </c>
      <c r="C330" s="494" t="s">
        <v>670</v>
      </c>
      <c r="D330" s="315" t="s">
        <v>206</v>
      </c>
      <c r="E330" s="874" t="s">
        <v>617</v>
      </c>
    </row>
    <row r="331" spans="1:5" ht="13.5" thickBot="1">
      <c r="A331" s="495"/>
      <c r="B331" s="873" t="s">
        <v>672</v>
      </c>
      <c r="C331" s="495"/>
      <c r="D331" s="316" t="s">
        <v>60</v>
      </c>
      <c r="E331" s="876">
        <v>5000</v>
      </c>
    </row>
    <row r="332" spans="1:5" ht="12.75">
      <c r="A332" s="494" t="s">
        <v>587</v>
      </c>
      <c r="B332" s="872" t="s">
        <v>673</v>
      </c>
      <c r="C332" s="494" t="s">
        <v>670</v>
      </c>
      <c r="D332" s="315" t="s">
        <v>206</v>
      </c>
      <c r="E332" s="874" t="s">
        <v>617</v>
      </c>
    </row>
    <row r="333" spans="1:5" ht="13.5" thickBot="1">
      <c r="A333" s="495"/>
      <c r="B333" s="873"/>
      <c r="C333" s="495"/>
      <c r="D333" s="316" t="s">
        <v>60</v>
      </c>
      <c r="E333" s="887">
        <v>5000</v>
      </c>
    </row>
    <row r="334" spans="1:5" ht="12.75">
      <c r="A334" s="494" t="s">
        <v>587</v>
      </c>
      <c r="B334" s="884" t="s">
        <v>674</v>
      </c>
      <c r="C334" s="494" t="s">
        <v>601</v>
      </c>
      <c r="D334" s="318" t="s">
        <v>206</v>
      </c>
      <c r="E334" s="895" t="s">
        <v>617</v>
      </c>
    </row>
    <row r="335" spans="1:5" ht="13.5" thickBot="1">
      <c r="A335" s="495"/>
      <c r="B335" s="884" t="s">
        <v>675</v>
      </c>
      <c r="C335" s="495"/>
      <c r="D335" s="319" t="s">
        <v>60</v>
      </c>
      <c r="E335" s="889">
        <v>3000</v>
      </c>
    </row>
    <row r="336" spans="1:5" ht="12.75">
      <c r="A336" s="494" t="s">
        <v>587</v>
      </c>
      <c r="B336" s="872" t="s">
        <v>676</v>
      </c>
      <c r="C336" s="494" t="s">
        <v>601</v>
      </c>
      <c r="D336" s="315" t="s">
        <v>206</v>
      </c>
      <c r="E336" s="896" t="s">
        <v>617</v>
      </c>
    </row>
    <row r="337" spans="1:5" ht="13.5" thickBot="1">
      <c r="A337" s="495"/>
      <c r="B337" s="873" t="s">
        <v>659</v>
      </c>
      <c r="C337" s="495"/>
      <c r="D337" s="316" t="s">
        <v>60</v>
      </c>
      <c r="E337" s="875">
        <v>5000</v>
      </c>
    </row>
    <row r="338" spans="1:5" ht="12.75">
      <c r="A338" s="494"/>
      <c r="B338" s="494"/>
      <c r="C338" s="494"/>
      <c r="D338" s="315" t="s">
        <v>206</v>
      </c>
      <c r="E338" s="494"/>
    </row>
    <row r="339" spans="1:5" ht="13.5" thickBot="1">
      <c r="A339" s="495"/>
      <c r="B339" s="495"/>
      <c r="C339" s="495"/>
      <c r="D339" s="316" t="s">
        <v>60</v>
      </c>
      <c r="E339" s="495"/>
    </row>
    <row r="340" spans="1:5" ht="12.75">
      <c r="A340" s="494"/>
      <c r="B340" s="494"/>
      <c r="C340" s="494"/>
      <c r="D340" s="315" t="s">
        <v>206</v>
      </c>
      <c r="E340" s="494"/>
    </row>
    <row r="341" spans="1:5" ht="13.5" thickBot="1">
      <c r="A341" s="495"/>
      <c r="B341" s="495"/>
      <c r="C341" s="495"/>
      <c r="D341" s="316" t="s">
        <v>60</v>
      </c>
      <c r="E341" s="495"/>
    </row>
    <row r="342" spans="1:5" ht="12.75">
      <c r="A342" s="494"/>
      <c r="B342" s="494"/>
      <c r="C342" s="494"/>
      <c r="D342" s="315" t="s">
        <v>206</v>
      </c>
      <c r="E342" s="494"/>
    </row>
    <row r="343" spans="1:5" ht="13.5" thickBot="1">
      <c r="A343" s="495"/>
      <c r="B343" s="495"/>
      <c r="C343" s="495"/>
      <c r="D343" s="315" t="s">
        <v>60</v>
      </c>
      <c r="E343" s="495"/>
    </row>
    <row r="344" spans="1:5" ht="13.5" thickBot="1">
      <c r="A344" s="496" t="s">
        <v>207</v>
      </c>
      <c r="B344" s="497"/>
      <c r="C344" s="497"/>
      <c r="D344" s="498"/>
      <c r="E344" s="317">
        <f>E329+E333+E335+E337+E331</f>
        <v>28000</v>
      </c>
    </row>
    <row r="345" spans="1:2" s="878" customFormat="1" ht="12.75">
      <c r="A345" s="877" t="s">
        <v>208</v>
      </c>
      <c r="B345" s="877" t="s">
        <v>209</v>
      </c>
    </row>
    <row r="349" spans="1:5" ht="16.5" thickBot="1">
      <c r="A349" s="508" t="s">
        <v>563</v>
      </c>
      <c r="B349" s="509"/>
      <c r="C349" s="509"/>
      <c r="D349" s="509"/>
      <c r="E349" s="509"/>
    </row>
    <row r="350" spans="1:5" ht="12.75">
      <c r="A350" s="858" t="s">
        <v>201</v>
      </c>
      <c r="B350" s="859"/>
      <c r="C350" s="859"/>
      <c r="D350" s="859"/>
      <c r="E350" s="860"/>
    </row>
    <row r="351" spans="1:5" ht="12.75">
      <c r="A351" s="861"/>
      <c r="B351" s="862"/>
      <c r="C351" s="862"/>
      <c r="D351" s="862"/>
      <c r="E351" s="863"/>
    </row>
    <row r="352" spans="1:5" ht="12.75">
      <c r="A352" s="864" t="s">
        <v>666</v>
      </c>
      <c r="B352" s="865"/>
      <c r="C352" s="862"/>
      <c r="D352" s="862"/>
      <c r="E352" s="863"/>
    </row>
    <row r="353" spans="1:5" ht="39" customHeight="1">
      <c r="A353" s="894" t="s">
        <v>677</v>
      </c>
      <c r="B353" s="867"/>
      <c r="C353" s="867"/>
      <c r="D353" s="867"/>
      <c r="E353" s="868"/>
    </row>
    <row r="354" spans="1:5" ht="13.5" thickBot="1">
      <c r="A354" s="882"/>
      <c r="B354" s="890"/>
      <c r="C354" s="890"/>
      <c r="D354" s="890"/>
      <c r="E354" s="891"/>
    </row>
    <row r="355" spans="1:5" ht="12.75">
      <c r="A355" s="499" t="s">
        <v>202</v>
      </c>
      <c r="B355" s="73" t="s">
        <v>203</v>
      </c>
      <c r="C355" s="499" t="s">
        <v>204</v>
      </c>
      <c r="D355" s="502"/>
      <c r="E355" s="73"/>
    </row>
    <row r="356" spans="1:5" ht="12.75">
      <c r="A356" s="500"/>
      <c r="B356" s="74"/>
      <c r="C356" s="500"/>
      <c r="D356" s="503"/>
      <c r="E356" s="74">
        <v>2018</v>
      </c>
    </row>
    <row r="357" spans="1:5" ht="13.5" thickBot="1">
      <c r="A357" s="501"/>
      <c r="B357" s="75" t="s">
        <v>205</v>
      </c>
      <c r="C357" s="501"/>
      <c r="D357" s="504"/>
      <c r="E357" s="76"/>
    </row>
    <row r="358" spans="1:5" ht="12.75">
      <c r="A358" s="494" t="s">
        <v>587</v>
      </c>
      <c r="B358" s="872" t="s">
        <v>678</v>
      </c>
      <c r="C358" s="494" t="s">
        <v>585</v>
      </c>
      <c r="D358" s="315" t="s">
        <v>206</v>
      </c>
      <c r="E358" s="874" t="s">
        <v>617</v>
      </c>
    </row>
    <row r="359" spans="1:5" ht="13.5" thickBot="1">
      <c r="A359" s="495"/>
      <c r="B359" s="873" t="s">
        <v>659</v>
      </c>
      <c r="C359" s="495"/>
      <c r="D359" s="316" t="s">
        <v>60</v>
      </c>
      <c r="E359" s="875">
        <v>3000</v>
      </c>
    </row>
    <row r="360" spans="1:5" ht="12.75">
      <c r="A360" s="494" t="s">
        <v>587</v>
      </c>
      <c r="B360" s="872" t="s">
        <v>679</v>
      </c>
      <c r="C360" s="494" t="s">
        <v>585</v>
      </c>
      <c r="D360" s="315" t="s">
        <v>206</v>
      </c>
      <c r="E360" s="874" t="s">
        <v>617</v>
      </c>
    </row>
    <row r="361" spans="1:5" ht="13.5" thickBot="1">
      <c r="A361" s="495"/>
      <c r="B361" s="873" t="s">
        <v>659</v>
      </c>
      <c r="C361" s="495"/>
      <c r="D361" s="316" t="s">
        <v>60</v>
      </c>
      <c r="E361" s="876">
        <v>1000</v>
      </c>
    </row>
    <row r="362" spans="1:5" ht="12.75">
      <c r="A362" s="494" t="s">
        <v>587</v>
      </c>
      <c r="B362" s="872" t="s">
        <v>680</v>
      </c>
      <c r="C362" s="494" t="s">
        <v>585</v>
      </c>
      <c r="D362" s="315" t="s">
        <v>206</v>
      </c>
      <c r="E362" s="874" t="s">
        <v>617</v>
      </c>
    </row>
    <row r="363" spans="1:5" ht="13.5" thickBot="1">
      <c r="A363" s="495"/>
      <c r="B363" s="873" t="s">
        <v>659</v>
      </c>
      <c r="C363" s="495"/>
      <c r="D363" s="316" t="s">
        <v>60</v>
      </c>
      <c r="E363" s="887">
        <v>5000</v>
      </c>
    </row>
    <row r="364" spans="1:5" ht="12.75">
      <c r="A364" s="494" t="s">
        <v>587</v>
      </c>
      <c r="B364" s="884" t="s">
        <v>681</v>
      </c>
      <c r="C364" s="494" t="s">
        <v>585</v>
      </c>
      <c r="D364" s="318" t="s">
        <v>206</v>
      </c>
      <c r="E364" s="895" t="s">
        <v>617</v>
      </c>
    </row>
    <row r="365" spans="1:5" ht="13.5" thickBot="1">
      <c r="A365" s="495"/>
      <c r="B365" s="884" t="s">
        <v>659</v>
      </c>
      <c r="C365" s="495"/>
      <c r="D365" s="319" t="s">
        <v>60</v>
      </c>
      <c r="E365" s="889">
        <v>2000</v>
      </c>
    </row>
    <row r="366" spans="1:5" ht="12.75">
      <c r="A366" s="494"/>
      <c r="B366" s="494"/>
      <c r="C366" s="494"/>
      <c r="D366" s="315" t="s">
        <v>206</v>
      </c>
      <c r="E366" s="494"/>
    </row>
    <row r="367" spans="1:5" ht="13.5" thickBot="1">
      <c r="A367" s="495"/>
      <c r="B367" s="495"/>
      <c r="C367" s="495"/>
      <c r="D367" s="316" t="s">
        <v>60</v>
      </c>
      <c r="E367" s="495"/>
    </row>
    <row r="368" spans="1:5" ht="12.75">
      <c r="A368" s="494"/>
      <c r="B368" s="494"/>
      <c r="C368" s="494"/>
      <c r="D368" s="315" t="s">
        <v>206</v>
      </c>
      <c r="E368" s="494"/>
    </row>
    <row r="369" spans="1:5" ht="13.5" thickBot="1">
      <c r="A369" s="495"/>
      <c r="B369" s="495"/>
      <c r="C369" s="495"/>
      <c r="D369" s="316" t="s">
        <v>60</v>
      </c>
      <c r="E369" s="495"/>
    </row>
    <row r="370" spans="1:5" ht="12.75">
      <c r="A370" s="494"/>
      <c r="B370" s="494"/>
      <c r="C370" s="494"/>
      <c r="D370" s="315" t="s">
        <v>206</v>
      </c>
      <c r="E370" s="494"/>
    </row>
    <row r="371" spans="1:5" ht="13.5" thickBot="1">
      <c r="A371" s="495"/>
      <c r="B371" s="495"/>
      <c r="C371" s="495"/>
      <c r="D371" s="316" t="s">
        <v>60</v>
      </c>
      <c r="E371" s="495"/>
    </row>
    <row r="372" spans="1:5" ht="12.75">
      <c r="A372" s="494"/>
      <c r="B372" s="494"/>
      <c r="C372" s="494"/>
      <c r="D372" s="315" t="s">
        <v>206</v>
      </c>
      <c r="E372" s="494"/>
    </row>
    <row r="373" spans="1:5" ht="13.5" thickBot="1">
      <c r="A373" s="495"/>
      <c r="B373" s="495"/>
      <c r="C373" s="495"/>
      <c r="D373" s="315" t="s">
        <v>60</v>
      </c>
      <c r="E373" s="495"/>
    </row>
    <row r="374" spans="1:5" ht="13.5" thickBot="1">
      <c r="A374" s="496" t="s">
        <v>207</v>
      </c>
      <c r="B374" s="497"/>
      <c r="C374" s="497"/>
      <c r="D374" s="498"/>
      <c r="E374" s="317">
        <f>E359+E363+E365+E361</f>
        <v>11000</v>
      </c>
    </row>
    <row r="375" spans="1:2" s="878" customFormat="1" ht="12.75">
      <c r="A375" s="877" t="s">
        <v>208</v>
      </c>
      <c r="B375" s="877" t="s">
        <v>209</v>
      </c>
    </row>
    <row r="380" spans="1:5" ht="16.5" thickBot="1">
      <c r="A380" s="508" t="s">
        <v>563</v>
      </c>
      <c r="B380" s="509"/>
      <c r="C380" s="509"/>
      <c r="D380" s="509"/>
      <c r="E380" s="509"/>
    </row>
    <row r="381" spans="1:5" ht="12.75">
      <c r="A381" s="858" t="s">
        <v>201</v>
      </c>
      <c r="B381" s="859"/>
      <c r="C381" s="859"/>
      <c r="D381" s="859"/>
      <c r="E381" s="860"/>
    </row>
    <row r="382" spans="1:5" ht="12.75">
      <c r="A382" s="861"/>
      <c r="B382" s="862"/>
      <c r="C382" s="862"/>
      <c r="D382" s="862"/>
      <c r="E382" s="863"/>
    </row>
    <row r="383" spans="1:5" ht="12.75">
      <c r="A383" s="864" t="s">
        <v>682</v>
      </c>
      <c r="B383" s="865"/>
      <c r="C383" s="862"/>
      <c r="D383" s="862"/>
      <c r="E383" s="863"/>
    </row>
    <row r="384" spans="1:5" ht="44.25" customHeight="1">
      <c r="A384" s="894" t="s">
        <v>683</v>
      </c>
      <c r="B384" s="867"/>
      <c r="C384" s="867"/>
      <c r="D384" s="867"/>
      <c r="E384" s="868"/>
    </row>
    <row r="385" spans="1:5" ht="13.5" thickBot="1">
      <c r="A385" s="882"/>
      <c r="B385" s="890"/>
      <c r="C385" s="890"/>
      <c r="D385" s="890"/>
      <c r="E385" s="891"/>
    </row>
    <row r="386" spans="1:5" ht="12.75">
      <c r="A386" s="499" t="s">
        <v>202</v>
      </c>
      <c r="B386" s="73" t="s">
        <v>203</v>
      </c>
      <c r="C386" s="499" t="s">
        <v>204</v>
      </c>
      <c r="D386" s="502"/>
      <c r="E386" s="73"/>
    </row>
    <row r="387" spans="1:5" ht="12.75">
      <c r="A387" s="500"/>
      <c r="B387" s="74"/>
      <c r="C387" s="500"/>
      <c r="D387" s="503"/>
      <c r="E387" s="74">
        <v>2018</v>
      </c>
    </row>
    <row r="388" spans="1:5" ht="13.5" thickBot="1">
      <c r="A388" s="501"/>
      <c r="B388" s="75" t="s">
        <v>205</v>
      </c>
      <c r="C388" s="501"/>
      <c r="D388" s="504"/>
      <c r="E388" s="76"/>
    </row>
    <row r="389" spans="1:5" ht="12.75">
      <c r="A389" s="494" t="s">
        <v>587</v>
      </c>
      <c r="B389" s="872" t="s">
        <v>684</v>
      </c>
      <c r="C389" s="494" t="s">
        <v>585</v>
      </c>
      <c r="D389" s="315" t="s">
        <v>206</v>
      </c>
      <c r="E389" s="874" t="s">
        <v>617</v>
      </c>
    </row>
    <row r="390" spans="1:5" ht="13.5" thickBot="1">
      <c r="A390" s="495"/>
      <c r="B390" s="873" t="s">
        <v>686</v>
      </c>
      <c r="C390" s="495"/>
      <c r="D390" s="316" t="s">
        <v>60</v>
      </c>
      <c r="E390" s="875">
        <v>13000</v>
      </c>
    </row>
    <row r="391" spans="1:5" ht="12.75">
      <c r="A391" s="494" t="s">
        <v>587</v>
      </c>
      <c r="B391" s="872" t="s">
        <v>685</v>
      </c>
      <c r="C391" s="494" t="s">
        <v>585</v>
      </c>
      <c r="D391" s="315" t="s">
        <v>206</v>
      </c>
      <c r="E391" s="874" t="s">
        <v>617</v>
      </c>
    </row>
    <row r="392" spans="1:5" ht="13.5" thickBot="1">
      <c r="A392" s="495"/>
      <c r="B392" s="873" t="s">
        <v>686</v>
      </c>
      <c r="C392" s="495"/>
      <c r="D392" s="316" t="s">
        <v>60</v>
      </c>
      <c r="E392" s="876">
        <v>10000</v>
      </c>
    </row>
    <row r="393" spans="1:5" ht="12.75">
      <c r="A393" s="494" t="s">
        <v>587</v>
      </c>
      <c r="B393" s="872" t="s">
        <v>687</v>
      </c>
      <c r="C393" s="494" t="s">
        <v>585</v>
      </c>
      <c r="D393" s="315" t="s">
        <v>206</v>
      </c>
      <c r="E393" s="874" t="s">
        <v>617</v>
      </c>
    </row>
    <row r="394" spans="1:5" ht="13.5" thickBot="1">
      <c r="A394" s="495"/>
      <c r="B394" s="873" t="s">
        <v>686</v>
      </c>
      <c r="C394" s="495"/>
      <c r="D394" s="316" t="s">
        <v>60</v>
      </c>
      <c r="E394" s="887">
        <v>2000</v>
      </c>
    </row>
    <row r="395" spans="1:5" ht="12.75">
      <c r="A395" s="494" t="s">
        <v>587</v>
      </c>
      <c r="B395" s="884" t="s">
        <v>688</v>
      </c>
      <c r="C395" s="494" t="s">
        <v>585</v>
      </c>
      <c r="D395" s="318" t="s">
        <v>206</v>
      </c>
      <c r="E395" s="895" t="s">
        <v>617</v>
      </c>
    </row>
    <row r="396" spans="1:5" ht="13.5" thickBot="1">
      <c r="A396" s="495"/>
      <c r="B396" s="884" t="s">
        <v>686</v>
      </c>
      <c r="C396" s="495"/>
      <c r="D396" s="319" t="s">
        <v>60</v>
      </c>
      <c r="E396" s="889">
        <v>10000</v>
      </c>
    </row>
    <row r="397" spans="1:5" ht="12.75">
      <c r="A397" s="494" t="s">
        <v>587</v>
      </c>
      <c r="B397" s="872" t="s">
        <v>689</v>
      </c>
      <c r="C397" s="494" t="s">
        <v>585</v>
      </c>
      <c r="D397" s="315" t="s">
        <v>206</v>
      </c>
      <c r="E397" s="896" t="s">
        <v>617</v>
      </c>
    </row>
    <row r="398" spans="1:5" ht="13.5" thickBot="1">
      <c r="A398" s="495"/>
      <c r="B398" s="873" t="s">
        <v>622</v>
      </c>
      <c r="C398" s="495"/>
      <c r="D398" s="316" t="s">
        <v>60</v>
      </c>
      <c r="E398" s="875">
        <v>5000</v>
      </c>
    </row>
    <row r="399" spans="1:5" ht="12.75">
      <c r="A399" s="494" t="s">
        <v>587</v>
      </c>
      <c r="B399" s="872" t="s">
        <v>690</v>
      </c>
      <c r="C399" s="494" t="s">
        <v>585</v>
      </c>
      <c r="D399" s="315" t="s">
        <v>206</v>
      </c>
      <c r="E399" s="872">
        <v>1</v>
      </c>
    </row>
    <row r="400" spans="1:5" ht="13.5" thickBot="1">
      <c r="A400" s="495"/>
      <c r="B400" s="873" t="s">
        <v>622</v>
      </c>
      <c r="C400" s="495"/>
      <c r="D400" s="316" t="s">
        <v>60</v>
      </c>
      <c r="E400" s="875">
        <v>10000</v>
      </c>
    </row>
    <row r="401" spans="1:5" ht="12.75">
      <c r="A401" s="494"/>
      <c r="B401" s="494"/>
      <c r="C401" s="494"/>
      <c r="D401" s="315" t="s">
        <v>206</v>
      </c>
      <c r="E401" s="494"/>
    </row>
    <row r="402" spans="1:5" ht="13.5" thickBot="1">
      <c r="A402" s="495"/>
      <c r="B402" s="495"/>
      <c r="C402" s="495"/>
      <c r="D402" s="316" t="s">
        <v>60</v>
      </c>
      <c r="E402" s="495"/>
    </row>
    <row r="403" spans="1:5" ht="12.75">
      <c r="A403" s="494"/>
      <c r="B403" s="494"/>
      <c r="C403" s="494"/>
      <c r="D403" s="315" t="s">
        <v>206</v>
      </c>
      <c r="E403" s="494"/>
    </row>
    <row r="404" spans="1:5" ht="13.5" thickBot="1">
      <c r="A404" s="495"/>
      <c r="B404" s="495"/>
      <c r="C404" s="495"/>
      <c r="D404" s="315" t="s">
        <v>60</v>
      </c>
      <c r="E404" s="495"/>
    </row>
    <row r="405" spans="1:5" ht="13.5" thickBot="1">
      <c r="A405" s="496" t="s">
        <v>207</v>
      </c>
      <c r="B405" s="497"/>
      <c r="C405" s="497"/>
      <c r="D405" s="498"/>
      <c r="E405" s="317">
        <f>E390+E394+E396+E398+E400+E392</f>
        <v>50000</v>
      </c>
    </row>
    <row r="406" spans="1:2" s="878" customFormat="1" ht="12.75">
      <c r="A406" s="877" t="s">
        <v>208</v>
      </c>
      <c r="B406" s="877" t="s">
        <v>209</v>
      </c>
    </row>
    <row r="410" spans="1:5" ht="16.5" thickBot="1">
      <c r="A410" s="508" t="s">
        <v>563</v>
      </c>
      <c r="B410" s="509"/>
      <c r="C410" s="509"/>
      <c r="D410" s="509"/>
      <c r="E410" s="509"/>
    </row>
    <row r="411" spans="1:5" ht="12.75">
      <c r="A411" s="858" t="s">
        <v>201</v>
      </c>
      <c r="B411" s="859"/>
      <c r="C411" s="859"/>
      <c r="D411" s="859"/>
      <c r="E411" s="860"/>
    </row>
    <row r="412" spans="1:5" ht="12.75">
      <c r="A412" s="861"/>
      <c r="B412" s="862"/>
      <c r="C412" s="862"/>
      <c r="D412" s="862"/>
      <c r="E412" s="863"/>
    </row>
    <row r="413" spans="1:5" ht="12.75">
      <c r="A413" s="864" t="s">
        <v>682</v>
      </c>
      <c r="B413" s="865"/>
      <c r="C413" s="862"/>
      <c r="D413" s="862"/>
      <c r="E413" s="863"/>
    </row>
    <row r="414" spans="1:5" ht="32.25" customHeight="1">
      <c r="A414" s="894" t="s">
        <v>691</v>
      </c>
      <c r="B414" s="867"/>
      <c r="C414" s="867"/>
      <c r="D414" s="867"/>
      <c r="E414" s="868"/>
    </row>
    <row r="415" spans="1:5" ht="13.5" thickBot="1">
      <c r="A415" s="882"/>
      <c r="B415" s="890"/>
      <c r="C415" s="890"/>
      <c r="D415" s="890"/>
      <c r="E415" s="891"/>
    </row>
    <row r="416" spans="1:5" ht="12.75">
      <c r="A416" s="499" t="s">
        <v>202</v>
      </c>
      <c r="B416" s="73" t="s">
        <v>203</v>
      </c>
      <c r="C416" s="499" t="s">
        <v>204</v>
      </c>
      <c r="D416" s="502"/>
      <c r="E416" s="73"/>
    </row>
    <row r="417" spans="1:5" ht="12.75">
      <c r="A417" s="500"/>
      <c r="B417" s="74"/>
      <c r="C417" s="500"/>
      <c r="D417" s="503"/>
      <c r="E417" s="74">
        <v>2018</v>
      </c>
    </row>
    <row r="418" spans="1:5" ht="13.5" thickBot="1">
      <c r="A418" s="501"/>
      <c r="B418" s="75" t="s">
        <v>205</v>
      </c>
      <c r="C418" s="501"/>
      <c r="D418" s="504"/>
      <c r="E418" s="76"/>
    </row>
    <row r="419" spans="1:5" ht="12.75">
      <c r="A419" s="879" t="s">
        <v>587</v>
      </c>
      <c r="B419" s="872" t="s">
        <v>692</v>
      </c>
      <c r="C419" s="494" t="s">
        <v>670</v>
      </c>
      <c r="D419" s="315" t="s">
        <v>206</v>
      </c>
      <c r="E419" s="874" t="s">
        <v>617</v>
      </c>
    </row>
    <row r="420" spans="1:5" ht="13.5" thickBot="1">
      <c r="A420" s="880"/>
      <c r="B420" s="873" t="s">
        <v>686</v>
      </c>
      <c r="C420" s="495"/>
      <c r="D420" s="316" t="s">
        <v>60</v>
      </c>
      <c r="E420" s="875">
        <v>10000</v>
      </c>
    </row>
    <row r="421" spans="1:5" ht="12.75">
      <c r="A421" s="879" t="s">
        <v>587</v>
      </c>
      <c r="B421" s="872" t="s">
        <v>693</v>
      </c>
      <c r="C421" s="494" t="s">
        <v>670</v>
      </c>
      <c r="D421" s="315" t="s">
        <v>206</v>
      </c>
      <c r="E421" s="874" t="s">
        <v>617</v>
      </c>
    </row>
    <row r="422" spans="1:5" ht="13.5" thickBot="1">
      <c r="A422" s="880"/>
      <c r="B422" s="873" t="s">
        <v>686</v>
      </c>
      <c r="C422" s="495"/>
      <c r="D422" s="316" t="s">
        <v>60</v>
      </c>
      <c r="E422" s="876">
        <v>10000</v>
      </c>
    </row>
    <row r="423" spans="1:5" ht="12.75">
      <c r="A423" s="879" t="s">
        <v>587</v>
      </c>
      <c r="B423" s="872" t="s">
        <v>694</v>
      </c>
      <c r="C423" s="494" t="s">
        <v>620</v>
      </c>
      <c r="D423" s="315" t="s">
        <v>206</v>
      </c>
      <c r="E423" s="874" t="s">
        <v>617</v>
      </c>
    </row>
    <row r="424" spans="1:5" ht="13.5" thickBot="1">
      <c r="A424" s="880"/>
      <c r="B424" s="873" t="s">
        <v>686</v>
      </c>
      <c r="C424" s="495"/>
      <c r="D424" s="316" t="s">
        <v>60</v>
      </c>
      <c r="E424" s="887">
        <v>5000</v>
      </c>
    </row>
    <row r="425" spans="1:5" ht="12.75">
      <c r="A425" s="879" t="s">
        <v>587</v>
      </c>
      <c r="B425" s="884" t="s">
        <v>695</v>
      </c>
      <c r="C425" s="494" t="s">
        <v>670</v>
      </c>
      <c r="D425" s="318" t="s">
        <v>206</v>
      </c>
      <c r="E425" s="895" t="s">
        <v>617</v>
      </c>
    </row>
    <row r="426" spans="1:5" ht="13.5" thickBot="1">
      <c r="A426" s="880"/>
      <c r="B426" s="884" t="s">
        <v>622</v>
      </c>
      <c r="C426" s="495"/>
      <c r="D426" s="319" t="s">
        <v>60</v>
      </c>
      <c r="E426" s="889">
        <v>5000</v>
      </c>
    </row>
    <row r="427" spans="1:5" ht="12.75">
      <c r="A427" s="879" t="s">
        <v>587</v>
      </c>
      <c r="B427" s="872" t="s">
        <v>696</v>
      </c>
      <c r="C427" s="494" t="s">
        <v>670</v>
      </c>
      <c r="D427" s="315" t="s">
        <v>206</v>
      </c>
      <c r="E427" s="896" t="s">
        <v>617</v>
      </c>
    </row>
    <row r="428" spans="1:5" ht="13.5" thickBot="1">
      <c r="A428" s="880"/>
      <c r="B428" s="873" t="s">
        <v>686</v>
      </c>
      <c r="C428" s="495"/>
      <c r="D428" s="316" t="s">
        <v>60</v>
      </c>
      <c r="E428" s="875">
        <v>5000</v>
      </c>
    </row>
    <row r="429" spans="1:5" ht="12.75">
      <c r="A429" s="879"/>
      <c r="B429" s="872"/>
      <c r="C429" s="494"/>
      <c r="D429" s="315" t="s">
        <v>206</v>
      </c>
      <c r="E429" s="872"/>
    </row>
    <row r="430" spans="1:5" ht="13.5" thickBot="1">
      <c r="A430" s="880"/>
      <c r="B430" s="873"/>
      <c r="C430" s="495"/>
      <c r="D430" s="316" t="s">
        <v>60</v>
      </c>
      <c r="E430" s="875"/>
    </row>
    <row r="431" spans="1:5" ht="12.75">
      <c r="A431" s="494"/>
      <c r="B431" s="494"/>
      <c r="C431" s="494"/>
      <c r="D431" s="315" t="s">
        <v>206</v>
      </c>
      <c r="E431" s="494"/>
    </row>
    <row r="432" spans="1:5" ht="13.5" thickBot="1">
      <c r="A432" s="495"/>
      <c r="B432" s="495"/>
      <c r="C432" s="495"/>
      <c r="D432" s="315" t="s">
        <v>60</v>
      </c>
      <c r="E432" s="495"/>
    </row>
    <row r="433" spans="1:5" ht="13.5" thickBot="1">
      <c r="A433" s="496" t="s">
        <v>207</v>
      </c>
      <c r="B433" s="497"/>
      <c r="C433" s="497"/>
      <c r="D433" s="498"/>
      <c r="E433" s="317">
        <f>E420+E422+E424+E426+E428+E430</f>
        <v>35000</v>
      </c>
    </row>
    <row r="436" spans="1:5" ht="16.5" thickBot="1">
      <c r="A436" s="508" t="s">
        <v>563</v>
      </c>
      <c r="B436" s="509"/>
      <c r="C436" s="509"/>
      <c r="D436" s="509"/>
      <c r="E436" s="509"/>
    </row>
    <row r="437" spans="1:5" ht="12.75">
      <c r="A437" s="858" t="s">
        <v>201</v>
      </c>
      <c r="B437" s="859"/>
      <c r="C437" s="859"/>
      <c r="D437" s="859"/>
      <c r="E437" s="860"/>
    </row>
    <row r="438" spans="1:5" ht="12.75">
      <c r="A438" s="861"/>
      <c r="B438" s="862"/>
      <c r="C438" s="862"/>
      <c r="D438" s="862"/>
      <c r="E438" s="863"/>
    </row>
    <row r="439" spans="1:5" ht="12.75">
      <c r="A439" s="864" t="s">
        <v>697</v>
      </c>
      <c r="B439" s="865"/>
      <c r="C439" s="862"/>
      <c r="D439" s="862"/>
      <c r="E439" s="863"/>
    </row>
    <row r="440" spans="1:5" ht="15.75" customHeight="1">
      <c r="A440" s="894" t="s">
        <v>698</v>
      </c>
      <c r="B440" s="867"/>
      <c r="C440" s="867"/>
      <c r="D440" s="867"/>
      <c r="E440" s="868"/>
    </row>
    <row r="441" spans="1:5" ht="13.5" thickBot="1">
      <c r="A441" s="882"/>
      <c r="B441" s="890"/>
      <c r="C441" s="890"/>
      <c r="D441" s="890"/>
      <c r="E441" s="891"/>
    </row>
    <row r="442" spans="1:5" ht="12.75">
      <c r="A442" s="499" t="s">
        <v>202</v>
      </c>
      <c r="B442" s="73" t="s">
        <v>203</v>
      </c>
      <c r="C442" s="499" t="s">
        <v>204</v>
      </c>
      <c r="D442" s="502"/>
      <c r="E442" s="73"/>
    </row>
    <row r="443" spans="1:5" ht="12.75">
      <c r="A443" s="500"/>
      <c r="B443" s="74"/>
      <c r="C443" s="500"/>
      <c r="D443" s="503"/>
      <c r="E443" s="74">
        <v>2018</v>
      </c>
    </row>
    <row r="444" spans="1:5" ht="13.5" thickBot="1">
      <c r="A444" s="501"/>
      <c r="B444" s="75" t="s">
        <v>205</v>
      </c>
      <c r="C444" s="501"/>
      <c r="D444" s="504"/>
      <c r="E444" s="76"/>
    </row>
    <row r="445" spans="1:5" ht="12.75">
      <c r="A445" s="494" t="s">
        <v>579</v>
      </c>
      <c r="B445" s="872" t="s">
        <v>699</v>
      </c>
      <c r="C445" s="494" t="s">
        <v>585</v>
      </c>
      <c r="D445" s="315" t="s">
        <v>206</v>
      </c>
      <c r="E445" s="874" t="s">
        <v>617</v>
      </c>
    </row>
    <row r="446" spans="1:5" ht="13.5" thickBot="1">
      <c r="A446" s="495"/>
      <c r="B446" s="873" t="s">
        <v>659</v>
      </c>
      <c r="C446" s="495"/>
      <c r="D446" s="316" t="s">
        <v>60</v>
      </c>
      <c r="E446" s="875">
        <v>10000</v>
      </c>
    </row>
    <row r="447" spans="1:5" ht="12.75">
      <c r="A447" s="494" t="s">
        <v>579</v>
      </c>
      <c r="B447" s="872" t="s">
        <v>700</v>
      </c>
      <c r="C447" s="494" t="s">
        <v>589</v>
      </c>
      <c r="D447" s="315" t="s">
        <v>206</v>
      </c>
      <c r="E447" s="874" t="s">
        <v>617</v>
      </c>
    </row>
    <row r="448" spans="1:5" ht="13.5" thickBot="1">
      <c r="A448" s="495"/>
      <c r="B448" s="873" t="s">
        <v>659</v>
      </c>
      <c r="C448" s="495"/>
      <c r="D448" s="316" t="s">
        <v>60</v>
      </c>
      <c r="E448" s="876">
        <v>15000</v>
      </c>
    </row>
    <row r="449" spans="1:5" ht="12.75">
      <c r="A449" s="494" t="s">
        <v>579</v>
      </c>
      <c r="B449" s="872" t="s">
        <v>701</v>
      </c>
      <c r="C449" s="494" t="s">
        <v>585</v>
      </c>
      <c r="D449" s="315" t="s">
        <v>206</v>
      </c>
      <c r="E449" s="874" t="s">
        <v>617</v>
      </c>
    </row>
    <row r="450" spans="1:5" ht="13.5" thickBot="1">
      <c r="A450" s="495"/>
      <c r="B450" s="873" t="s">
        <v>659</v>
      </c>
      <c r="C450" s="495"/>
      <c r="D450" s="316" t="s">
        <v>60</v>
      </c>
      <c r="E450" s="887">
        <v>5000</v>
      </c>
    </row>
    <row r="451" spans="1:5" ht="12.75">
      <c r="A451" s="494" t="s">
        <v>587</v>
      </c>
      <c r="B451" s="884" t="s">
        <v>702</v>
      </c>
      <c r="C451" s="494" t="s">
        <v>670</v>
      </c>
      <c r="D451" s="318" t="s">
        <v>206</v>
      </c>
      <c r="E451" s="895" t="s">
        <v>617</v>
      </c>
    </row>
    <row r="452" spans="1:5" ht="13.5" thickBot="1">
      <c r="A452" s="495"/>
      <c r="B452" s="884" t="s">
        <v>686</v>
      </c>
      <c r="C452" s="495"/>
      <c r="D452" s="319" t="s">
        <v>60</v>
      </c>
      <c r="E452" s="889">
        <v>5000</v>
      </c>
    </row>
    <row r="453" spans="1:5" ht="12.75">
      <c r="A453" s="494" t="s">
        <v>703</v>
      </c>
      <c r="B453" s="872" t="s">
        <v>704</v>
      </c>
      <c r="C453" s="494"/>
      <c r="D453" s="315" t="s">
        <v>206</v>
      </c>
      <c r="E453" s="896" t="s">
        <v>706</v>
      </c>
    </row>
    <row r="454" spans="1:5" ht="13.5" thickBot="1">
      <c r="A454" s="495"/>
      <c r="B454" s="873" t="s">
        <v>705</v>
      </c>
      <c r="C454" s="495"/>
      <c r="D454" s="316" t="s">
        <v>60</v>
      </c>
      <c r="E454" s="875">
        <v>5000</v>
      </c>
    </row>
    <row r="455" spans="1:5" ht="12.75">
      <c r="A455" s="494"/>
      <c r="B455" s="494"/>
      <c r="C455" s="494"/>
      <c r="D455" s="315" t="s">
        <v>206</v>
      </c>
      <c r="E455" s="494"/>
    </row>
    <row r="456" spans="1:5" ht="13.5" thickBot="1">
      <c r="A456" s="495"/>
      <c r="B456" s="495"/>
      <c r="C456" s="495"/>
      <c r="D456" s="316" t="s">
        <v>60</v>
      </c>
      <c r="E456" s="495"/>
    </row>
    <row r="457" spans="1:5" ht="12.75">
      <c r="A457" s="494"/>
      <c r="B457" s="494"/>
      <c r="C457" s="494"/>
      <c r="D457" s="315" t="s">
        <v>206</v>
      </c>
      <c r="E457" s="494"/>
    </row>
    <row r="458" spans="1:5" ht="13.5" thickBot="1">
      <c r="A458" s="495"/>
      <c r="B458" s="495"/>
      <c r="C458" s="495"/>
      <c r="D458" s="316" t="s">
        <v>60</v>
      </c>
      <c r="E458" s="495"/>
    </row>
    <row r="459" spans="1:5" ht="12.75">
      <c r="A459" s="494"/>
      <c r="B459" s="494"/>
      <c r="C459" s="494"/>
      <c r="D459" s="315" t="s">
        <v>206</v>
      </c>
      <c r="E459" s="494"/>
    </row>
    <row r="460" spans="1:5" ht="13.5" thickBot="1">
      <c r="A460" s="495"/>
      <c r="B460" s="495"/>
      <c r="C460" s="495"/>
      <c r="D460" s="315" t="s">
        <v>60</v>
      </c>
      <c r="E460" s="495"/>
    </row>
    <row r="461" spans="1:5" ht="13.5" thickBot="1">
      <c r="A461" s="496" t="s">
        <v>207</v>
      </c>
      <c r="B461" s="497"/>
      <c r="C461" s="497"/>
      <c r="D461" s="498"/>
      <c r="E461" s="317">
        <f>E446+E448+E450+E452+E454</f>
        <v>40000</v>
      </c>
    </row>
    <row r="465" spans="1:5" ht="16.5" thickBot="1">
      <c r="A465" s="508" t="s">
        <v>563</v>
      </c>
      <c r="B465" s="509"/>
      <c r="C465" s="509"/>
      <c r="D465" s="509"/>
      <c r="E465" s="509"/>
    </row>
    <row r="466" spans="1:5" ht="12.75">
      <c r="A466" s="858" t="s">
        <v>201</v>
      </c>
      <c r="B466" s="859"/>
      <c r="C466" s="859"/>
      <c r="D466" s="859"/>
      <c r="E466" s="860"/>
    </row>
    <row r="467" spans="1:5" ht="12.75">
      <c r="A467" s="861"/>
      <c r="B467" s="862"/>
      <c r="C467" s="862"/>
      <c r="D467" s="862"/>
      <c r="E467" s="863"/>
    </row>
    <row r="468" spans="1:5" ht="12.75">
      <c r="A468" s="864" t="s">
        <v>697</v>
      </c>
      <c r="B468" s="865"/>
      <c r="C468" s="862"/>
      <c r="D468" s="862"/>
      <c r="E468" s="863"/>
    </row>
    <row r="469" spans="1:5" ht="12.75">
      <c r="A469" s="894" t="s">
        <v>698</v>
      </c>
      <c r="B469" s="867"/>
      <c r="C469" s="867"/>
      <c r="D469" s="867"/>
      <c r="E469" s="868"/>
    </row>
    <row r="470" spans="1:5" ht="13.5" thickBot="1">
      <c r="A470" s="882"/>
      <c r="B470" s="890"/>
      <c r="C470" s="890"/>
      <c r="D470" s="890"/>
      <c r="E470" s="891"/>
    </row>
    <row r="471" spans="1:5" ht="12.75">
      <c r="A471" s="499" t="s">
        <v>202</v>
      </c>
      <c r="B471" s="73" t="s">
        <v>203</v>
      </c>
      <c r="C471" s="499" t="s">
        <v>204</v>
      </c>
      <c r="D471" s="502"/>
      <c r="E471" s="73"/>
    </row>
    <row r="472" spans="1:5" ht="12.75">
      <c r="A472" s="500"/>
      <c r="B472" s="74"/>
      <c r="C472" s="500"/>
      <c r="D472" s="503"/>
      <c r="E472" s="74">
        <v>2018</v>
      </c>
    </row>
    <row r="473" spans="1:5" ht="13.5" thickBot="1">
      <c r="A473" s="501"/>
      <c r="B473" s="75" t="s">
        <v>205</v>
      </c>
      <c r="C473" s="501"/>
      <c r="D473" s="504"/>
      <c r="E473" s="76"/>
    </row>
    <row r="474" spans="1:5" ht="12.75">
      <c r="A474" s="494" t="s">
        <v>587</v>
      </c>
      <c r="B474" s="872" t="s">
        <v>707</v>
      </c>
      <c r="C474" s="494" t="s">
        <v>670</v>
      </c>
      <c r="D474" s="315" t="s">
        <v>206</v>
      </c>
      <c r="E474" s="874" t="s">
        <v>708</v>
      </c>
    </row>
    <row r="475" spans="1:5" ht="13.5" thickBot="1">
      <c r="A475" s="495"/>
      <c r="B475" s="873" t="s">
        <v>686</v>
      </c>
      <c r="C475" s="495"/>
      <c r="D475" s="316" t="s">
        <v>60</v>
      </c>
      <c r="E475" s="875">
        <v>300000</v>
      </c>
    </row>
    <row r="476" spans="1:5" ht="12.75">
      <c r="A476" s="494" t="s">
        <v>587</v>
      </c>
      <c r="B476" s="872" t="s">
        <v>709</v>
      </c>
      <c r="C476" s="494" t="s">
        <v>670</v>
      </c>
      <c r="D476" s="315" t="s">
        <v>206</v>
      </c>
      <c r="E476" s="874" t="s">
        <v>617</v>
      </c>
    </row>
    <row r="477" spans="1:5" ht="13.5" thickBot="1">
      <c r="A477" s="495"/>
      <c r="B477" s="873" t="s">
        <v>622</v>
      </c>
      <c r="C477" s="495"/>
      <c r="D477" s="316" t="s">
        <v>60</v>
      </c>
      <c r="E477" s="876">
        <v>80000</v>
      </c>
    </row>
    <row r="478" spans="1:5" ht="12.75">
      <c r="A478" s="494" t="s">
        <v>587</v>
      </c>
      <c r="B478" s="872" t="s">
        <v>710</v>
      </c>
      <c r="C478" s="494" t="s">
        <v>670</v>
      </c>
      <c r="D478" s="315" t="s">
        <v>206</v>
      </c>
      <c r="E478" s="874" t="s">
        <v>617</v>
      </c>
    </row>
    <row r="479" spans="1:5" ht="13.5" thickBot="1">
      <c r="A479" s="495"/>
      <c r="B479" s="873" t="s">
        <v>686</v>
      </c>
      <c r="C479" s="495"/>
      <c r="D479" s="316" t="s">
        <v>60</v>
      </c>
      <c r="E479" s="887">
        <v>12000</v>
      </c>
    </row>
    <row r="480" spans="1:5" ht="12.75">
      <c r="A480" s="494" t="s">
        <v>587</v>
      </c>
      <c r="B480" s="884" t="s">
        <v>711</v>
      </c>
      <c r="C480" s="494" t="s">
        <v>670</v>
      </c>
      <c r="D480" s="318" t="s">
        <v>206</v>
      </c>
      <c r="E480" s="895" t="s">
        <v>617</v>
      </c>
    </row>
    <row r="481" spans="1:5" ht="13.5" thickBot="1">
      <c r="A481" s="495"/>
      <c r="B481" s="884" t="s">
        <v>686</v>
      </c>
      <c r="C481" s="495"/>
      <c r="D481" s="319" t="s">
        <v>60</v>
      </c>
      <c r="E481" s="889">
        <v>8000</v>
      </c>
    </row>
    <row r="482" spans="1:5" ht="12.75">
      <c r="A482" s="494" t="s">
        <v>587</v>
      </c>
      <c r="B482" s="872" t="s">
        <v>712</v>
      </c>
      <c r="C482" s="494" t="s">
        <v>670</v>
      </c>
      <c r="D482" s="315" t="s">
        <v>206</v>
      </c>
      <c r="E482" s="896" t="s">
        <v>617</v>
      </c>
    </row>
    <row r="483" spans="1:5" ht="13.5" thickBot="1">
      <c r="A483" s="495"/>
      <c r="B483" s="873" t="s">
        <v>686</v>
      </c>
      <c r="C483" s="495"/>
      <c r="D483" s="316" t="s">
        <v>60</v>
      </c>
      <c r="E483" s="875">
        <v>30000</v>
      </c>
    </row>
    <row r="484" spans="1:5" ht="12.75">
      <c r="A484" s="494" t="s">
        <v>587</v>
      </c>
      <c r="B484" s="872" t="s">
        <v>713</v>
      </c>
      <c r="C484" s="494" t="s">
        <v>620</v>
      </c>
      <c r="D484" s="315" t="s">
        <v>206</v>
      </c>
      <c r="E484" s="872">
        <v>1</v>
      </c>
    </row>
    <row r="485" spans="1:5" ht="13.5" thickBot="1">
      <c r="A485" s="495"/>
      <c r="B485" s="873" t="s">
        <v>686</v>
      </c>
      <c r="C485" s="495"/>
      <c r="D485" s="316" t="s">
        <v>60</v>
      </c>
      <c r="E485" s="875">
        <v>20000</v>
      </c>
    </row>
    <row r="486" spans="1:5" ht="12.75">
      <c r="A486" s="494" t="s">
        <v>579</v>
      </c>
      <c r="B486" s="897" t="s">
        <v>714</v>
      </c>
      <c r="C486" s="494" t="s">
        <v>585</v>
      </c>
      <c r="D486" s="315" t="s">
        <v>206</v>
      </c>
      <c r="E486" s="872">
        <v>1</v>
      </c>
    </row>
    <row r="487" spans="1:5" ht="13.5" thickBot="1">
      <c r="A487" s="495"/>
      <c r="B487" s="898" t="s">
        <v>659</v>
      </c>
      <c r="C487" s="495"/>
      <c r="D487" s="316" t="s">
        <v>60</v>
      </c>
      <c r="E487" s="875">
        <v>5000</v>
      </c>
    </row>
    <row r="488" spans="1:5" ht="12.75">
      <c r="A488" s="494"/>
      <c r="B488" s="494"/>
      <c r="C488" s="494"/>
      <c r="D488" s="315" t="s">
        <v>206</v>
      </c>
      <c r="E488" s="494"/>
    </row>
    <row r="489" spans="1:5" ht="13.5" thickBot="1">
      <c r="A489" s="495"/>
      <c r="B489" s="495"/>
      <c r="C489" s="495"/>
      <c r="D489" s="315" t="s">
        <v>60</v>
      </c>
      <c r="E489" s="495"/>
    </row>
    <row r="490" spans="1:5" ht="13.5" thickBot="1">
      <c r="A490" s="496" t="s">
        <v>207</v>
      </c>
      <c r="B490" s="497"/>
      <c r="C490" s="497"/>
      <c r="D490" s="498"/>
      <c r="E490" s="317">
        <f>E475+E477+E479+E481+E483+E485+E487</f>
        <v>455000</v>
      </c>
    </row>
    <row r="494" spans="1:5" ht="16.5" thickBot="1">
      <c r="A494" s="508" t="s">
        <v>563</v>
      </c>
      <c r="B494" s="509"/>
      <c r="C494" s="509"/>
      <c r="D494" s="509"/>
      <c r="E494" s="509"/>
    </row>
    <row r="495" spans="1:5" ht="12.75">
      <c r="A495" s="858" t="s">
        <v>201</v>
      </c>
      <c r="B495" s="859"/>
      <c r="C495" s="859"/>
      <c r="D495" s="859"/>
      <c r="E495" s="860"/>
    </row>
    <row r="496" spans="1:5" ht="12.75">
      <c r="A496" s="861"/>
      <c r="B496" s="862"/>
      <c r="C496" s="862"/>
      <c r="D496" s="862"/>
      <c r="E496" s="863"/>
    </row>
    <row r="497" spans="1:5" ht="12.75">
      <c r="A497" s="864" t="s">
        <v>715</v>
      </c>
      <c r="B497" s="865"/>
      <c r="C497" s="862"/>
      <c r="D497" s="862"/>
      <c r="E497" s="863"/>
    </row>
    <row r="498" spans="1:5" ht="39" customHeight="1">
      <c r="A498" s="894" t="s">
        <v>716</v>
      </c>
      <c r="B498" s="867"/>
      <c r="C498" s="867"/>
      <c r="D498" s="867"/>
      <c r="E498" s="868"/>
    </row>
    <row r="499" spans="1:5" ht="13.5" thickBot="1">
      <c r="A499" s="882"/>
      <c r="B499" s="890"/>
      <c r="C499" s="890"/>
      <c r="D499" s="890"/>
      <c r="E499" s="891"/>
    </row>
    <row r="500" spans="1:5" ht="12.75">
      <c r="A500" s="499" t="s">
        <v>202</v>
      </c>
      <c r="B500" s="73" t="s">
        <v>203</v>
      </c>
      <c r="C500" s="499" t="s">
        <v>204</v>
      </c>
      <c r="D500" s="502"/>
      <c r="E500" s="73"/>
    </row>
    <row r="501" spans="1:5" ht="12.75">
      <c r="A501" s="500"/>
      <c r="B501" s="74"/>
      <c r="C501" s="500"/>
      <c r="D501" s="503"/>
      <c r="E501" s="74">
        <v>2018</v>
      </c>
    </row>
    <row r="502" spans="1:5" ht="13.5" thickBot="1">
      <c r="A502" s="501"/>
      <c r="B502" s="75" t="s">
        <v>205</v>
      </c>
      <c r="C502" s="501"/>
      <c r="D502" s="504"/>
      <c r="E502" s="76"/>
    </row>
    <row r="503" spans="1:5" ht="12.75">
      <c r="A503" s="494" t="s">
        <v>587</v>
      </c>
      <c r="B503" s="872" t="s">
        <v>717</v>
      </c>
      <c r="C503" s="494" t="s">
        <v>670</v>
      </c>
      <c r="D503" s="315" t="s">
        <v>206</v>
      </c>
      <c r="E503" s="874" t="s">
        <v>617</v>
      </c>
    </row>
    <row r="504" spans="1:5" ht="13.5" thickBot="1">
      <c r="A504" s="495"/>
      <c r="B504" s="873" t="s">
        <v>596</v>
      </c>
      <c r="C504" s="495"/>
      <c r="D504" s="316" t="s">
        <v>60</v>
      </c>
      <c r="E504" s="875">
        <v>235000</v>
      </c>
    </row>
    <row r="505" spans="1:5" ht="12.75">
      <c r="A505" s="494"/>
      <c r="B505" s="872"/>
      <c r="C505" s="494"/>
      <c r="D505" s="315" t="s">
        <v>206</v>
      </c>
      <c r="E505" s="874"/>
    </row>
    <row r="506" spans="1:5" ht="13.5" thickBot="1">
      <c r="A506" s="495"/>
      <c r="B506" s="873"/>
      <c r="C506" s="495"/>
      <c r="D506" s="316" t="s">
        <v>60</v>
      </c>
      <c r="E506" s="876"/>
    </row>
    <row r="507" spans="1:5" ht="12.75">
      <c r="A507" s="494"/>
      <c r="B507" s="872"/>
      <c r="C507" s="494"/>
      <c r="D507" s="315" t="s">
        <v>206</v>
      </c>
      <c r="E507" s="874"/>
    </row>
    <row r="508" spans="1:5" ht="13.5" thickBot="1">
      <c r="A508" s="495"/>
      <c r="B508" s="873"/>
      <c r="C508" s="495"/>
      <c r="D508" s="316" t="s">
        <v>60</v>
      </c>
      <c r="E508" s="887"/>
    </row>
    <row r="509" spans="1:5" ht="12.75">
      <c r="A509" s="494"/>
      <c r="B509" s="884"/>
      <c r="C509" s="494"/>
      <c r="D509" s="318" t="s">
        <v>206</v>
      </c>
      <c r="E509" s="895"/>
    </row>
    <row r="510" spans="1:5" ht="13.5" thickBot="1">
      <c r="A510" s="495"/>
      <c r="B510" s="884"/>
      <c r="C510" s="495"/>
      <c r="D510" s="319" t="s">
        <v>60</v>
      </c>
      <c r="E510" s="889"/>
    </row>
    <row r="511" spans="1:5" ht="12.75">
      <c r="A511" s="494"/>
      <c r="B511" s="872"/>
      <c r="C511" s="494"/>
      <c r="D511" s="315" t="s">
        <v>206</v>
      </c>
      <c r="E511" s="896"/>
    </row>
    <row r="512" spans="1:5" ht="13.5" thickBot="1">
      <c r="A512" s="495"/>
      <c r="B512" s="873"/>
      <c r="C512" s="495"/>
      <c r="D512" s="316" t="s">
        <v>60</v>
      </c>
      <c r="E512" s="875"/>
    </row>
    <row r="513" spans="1:5" ht="12.75">
      <c r="A513" s="494"/>
      <c r="B513" s="872"/>
      <c r="C513" s="494"/>
      <c r="D513" s="315" t="s">
        <v>206</v>
      </c>
      <c r="E513" s="872"/>
    </row>
    <row r="514" spans="1:5" ht="13.5" thickBot="1">
      <c r="A514" s="495"/>
      <c r="B514" s="873"/>
      <c r="C514" s="495"/>
      <c r="D514" s="316" t="s">
        <v>60</v>
      </c>
      <c r="E514" s="875"/>
    </row>
    <row r="515" spans="1:5" ht="12.75">
      <c r="A515" s="494"/>
      <c r="B515" s="494"/>
      <c r="C515" s="494"/>
      <c r="D515" s="315" t="s">
        <v>206</v>
      </c>
      <c r="E515" s="494"/>
    </row>
    <row r="516" spans="1:5" ht="13.5" thickBot="1">
      <c r="A516" s="495"/>
      <c r="B516" s="495"/>
      <c r="C516" s="495"/>
      <c r="D516" s="316" t="s">
        <v>60</v>
      </c>
      <c r="E516" s="495"/>
    </row>
    <row r="517" spans="1:5" ht="12.75">
      <c r="A517" s="494"/>
      <c r="B517" s="494"/>
      <c r="C517" s="494"/>
      <c r="D517" s="315" t="s">
        <v>206</v>
      </c>
      <c r="E517" s="494"/>
    </row>
    <row r="518" spans="1:5" ht="13.5" thickBot="1">
      <c r="A518" s="495"/>
      <c r="B518" s="495"/>
      <c r="C518" s="495"/>
      <c r="D518" s="315" t="s">
        <v>60</v>
      </c>
      <c r="E518" s="495"/>
    </row>
    <row r="519" spans="1:5" ht="13.5" thickBot="1">
      <c r="A519" s="496" t="s">
        <v>207</v>
      </c>
      <c r="B519" s="497"/>
      <c r="C519" s="497"/>
      <c r="D519" s="498"/>
      <c r="E519" s="317">
        <f>E504+E506+E508+E510+E512+E514</f>
        <v>235000</v>
      </c>
    </row>
    <row r="523" spans="1:5" ht="16.5" thickBot="1">
      <c r="A523" s="508" t="s">
        <v>563</v>
      </c>
      <c r="B523" s="509"/>
      <c r="C523" s="509"/>
      <c r="D523" s="509"/>
      <c r="E523" s="509"/>
    </row>
    <row r="524" spans="1:5" ht="12.75">
      <c r="A524" s="858" t="s">
        <v>201</v>
      </c>
      <c r="B524" s="859"/>
      <c r="C524" s="859"/>
      <c r="D524" s="859"/>
      <c r="E524" s="860"/>
    </row>
    <row r="525" spans="1:5" ht="12.75">
      <c r="A525" s="861"/>
      <c r="B525" s="862"/>
      <c r="C525" s="862"/>
      <c r="D525" s="862"/>
      <c r="E525" s="863"/>
    </row>
    <row r="526" spans="1:5" ht="12.75">
      <c r="A526" s="864" t="s">
        <v>715</v>
      </c>
      <c r="B526" s="865"/>
      <c r="C526" s="862"/>
      <c r="D526" s="862"/>
      <c r="E526" s="863"/>
    </row>
    <row r="527" spans="1:5" ht="12.75">
      <c r="A527" s="894" t="s">
        <v>718</v>
      </c>
      <c r="B527" s="867"/>
      <c r="C527" s="867"/>
      <c r="D527" s="867"/>
      <c r="E527" s="868"/>
    </row>
    <row r="528" spans="1:5" ht="13.5" thickBot="1">
      <c r="A528" s="882"/>
      <c r="B528" s="890"/>
      <c r="C528" s="890"/>
      <c r="D528" s="890"/>
      <c r="E528" s="891"/>
    </row>
    <row r="529" spans="1:5" ht="12.75">
      <c r="A529" s="499" t="s">
        <v>202</v>
      </c>
      <c r="B529" s="73" t="s">
        <v>203</v>
      </c>
      <c r="C529" s="499" t="s">
        <v>204</v>
      </c>
      <c r="D529" s="502"/>
      <c r="E529" s="73"/>
    </row>
    <row r="530" spans="1:5" ht="12.75">
      <c r="A530" s="500"/>
      <c r="B530" s="74"/>
      <c r="C530" s="500"/>
      <c r="D530" s="503"/>
      <c r="E530" s="74">
        <v>2018</v>
      </c>
    </row>
    <row r="531" spans="1:5" ht="13.5" thickBot="1">
      <c r="A531" s="501"/>
      <c r="B531" s="75" t="s">
        <v>205</v>
      </c>
      <c r="C531" s="501"/>
      <c r="D531" s="504"/>
      <c r="E531" s="76"/>
    </row>
    <row r="532" spans="1:5" ht="12.75">
      <c r="A532" s="879" t="s">
        <v>587</v>
      </c>
      <c r="B532" s="872" t="s">
        <v>719</v>
      </c>
      <c r="C532" s="494" t="s">
        <v>670</v>
      </c>
      <c r="D532" s="315" t="s">
        <v>206</v>
      </c>
      <c r="E532" s="874" t="s">
        <v>617</v>
      </c>
    </row>
    <row r="533" spans="1:5" ht="13.5" thickBot="1">
      <c r="A533" s="880"/>
      <c r="B533" s="873" t="s">
        <v>720</v>
      </c>
      <c r="C533" s="495"/>
      <c r="D533" s="316" t="s">
        <v>60</v>
      </c>
      <c r="E533" s="875">
        <v>5000</v>
      </c>
    </row>
    <row r="534" spans="1:5" ht="24">
      <c r="A534" s="879" t="s">
        <v>587</v>
      </c>
      <c r="B534" s="872" t="s">
        <v>721</v>
      </c>
      <c r="C534" s="494" t="s">
        <v>13</v>
      </c>
      <c r="D534" s="315" t="s">
        <v>206</v>
      </c>
      <c r="E534" s="874" t="s">
        <v>723</v>
      </c>
    </row>
    <row r="535" spans="1:5" ht="13.5" thickBot="1">
      <c r="A535" s="880"/>
      <c r="B535" s="873" t="s">
        <v>722</v>
      </c>
      <c r="C535" s="495"/>
      <c r="D535" s="316" t="s">
        <v>60</v>
      </c>
      <c r="E535" s="876">
        <v>45000</v>
      </c>
    </row>
    <row r="536" spans="1:5" ht="12.75">
      <c r="A536" s="879" t="s">
        <v>587</v>
      </c>
      <c r="B536" s="872" t="s">
        <v>724</v>
      </c>
      <c r="C536" s="494" t="s">
        <v>13</v>
      </c>
      <c r="D536" s="315" t="s">
        <v>206</v>
      </c>
      <c r="E536" s="874" t="s">
        <v>645</v>
      </c>
    </row>
    <row r="537" spans="1:5" ht="13.5" thickBot="1">
      <c r="A537" s="880"/>
      <c r="B537" s="873" t="s">
        <v>722</v>
      </c>
      <c r="C537" s="495"/>
      <c r="D537" s="316" t="s">
        <v>60</v>
      </c>
      <c r="E537" s="887">
        <v>70000</v>
      </c>
    </row>
    <row r="538" spans="1:5" ht="12.75">
      <c r="A538" s="879"/>
      <c r="B538" s="884"/>
      <c r="C538" s="494"/>
      <c r="D538" s="318" t="s">
        <v>206</v>
      </c>
      <c r="E538" s="895"/>
    </row>
    <row r="539" spans="1:5" ht="13.5" thickBot="1">
      <c r="A539" s="880"/>
      <c r="B539" s="884"/>
      <c r="C539" s="495"/>
      <c r="D539" s="319" t="s">
        <v>60</v>
      </c>
      <c r="E539" s="889"/>
    </row>
    <row r="540" spans="1:5" ht="12.75">
      <c r="A540" s="879"/>
      <c r="B540" s="872"/>
      <c r="C540" s="494"/>
      <c r="D540" s="315" t="s">
        <v>206</v>
      </c>
      <c r="E540" s="896"/>
    </row>
    <row r="541" spans="1:5" ht="13.5" thickBot="1">
      <c r="A541" s="880"/>
      <c r="B541" s="873"/>
      <c r="C541" s="495"/>
      <c r="D541" s="316" t="s">
        <v>60</v>
      </c>
      <c r="E541" s="875"/>
    </row>
    <row r="542" spans="1:5" ht="12.75">
      <c r="A542" s="494"/>
      <c r="B542" s="494"/>
      <c r="C542" s="494"/>
      <c r="D542" s="315" t="s">
        <v>206</v>
      </c>
      <c r="E542" s="494"/>
    </row>
    <row r="543" spans="1:5" ht="13.5" thickBot="1">
      <c r="A543" s="495"/>
      <c r="B543" s="495"/>
      <c r="C543" s="495"/>
      <c r="D543" s="316" t="s">
        <v>60</v>
      </c>
      <c r="E543" s="495"/>
    </row>
    <row r="544" spans="1:5" ht="12.75">
      <c r="A544" s="494"/>
      <c r="B544" s="494"/>
      <c r="C544" s="494"/>
      <c r="D544" s="315" t="s">
        <v>206</v>
      </c>
      <c r="E544" s="494"/>
    </row>
    <row r="545" spans="1:5" ht="13.5" thickBot="1">
      <c r="A545" s="495"/>
      <c r="B545" s="495"/>
      <c r="C545" s="495"/>
      <c r="D545" s="315" t="s">
        <v>60</v>
      </c>
      <c r="E545" s="495"/>
    </row>
    <row r="546" spans="1:5" ht="13.5" thickBot="1">
      <c r="A546" s="496" t="s">
        <v>207</v>
      </c>
      <c r="B546" s="497"/>
      <c r="C546" s="497"/>
      <c r="D546" s="498"/>
      <c r="E546" s="317">
        <f>E533+E535+E537+E539+E541</f>
        <v>120000</v>
      </c>
    </row>
    <row r="550" spans="1:5" ht="16.5" thickBot="1">
      <c r="A550" s="508" t="s">
        <v>563</v>
      </c>
      <c r="B550" s="509"/>
      <c r="C550" s="509"/>
      <c r="D550" s="509"/>
      <c r="E550" s="509"/>
    </row>
    <row r="551" spans="1:5" ht="12.75">
      <c r="A551" s="858" t="s">
        <v>201</v>
      </c>
      <c r="B551" s="859"/>
      <c r="C551" s="859"/>
      <c r="D551" s="859"/>
      <c r="E551" s="860"/>
    </row>
    <row r="552" spans="1:5" ht="12.75">
      <c r="A552" s="861"/>
      <c r="B552" s="862"/>
      <c r="C552" s="862"/>
      <c r="D552" s="862"/>
      <c r="E552" s="863"/>
    </row>
    <row r="553" spans="1:5" ht="12.75">
      <c r="A553" s="864" t="s">
        <v>727</v>
      </c>
      <c r="B553" s="865"/>
      <c r="C553" s="862"/>
      <c r="D553" s="862"/>
      <c r="E553" s="863"/>
    </row>
    <row r="554" spans="1:5" ht="12.75">
      <c r="A554" s="894" t="s">
        <v>726</v>
      </c>
      <c r="B554" s="867"/>
      <c r="C554" s="867"/>
      <c r="D554" s="867"/>
      <c r="E554" s="868"/>
    </row>
    <row r="555" spans="1:5" ht="13.5" thickBot="1">
      <c r="A555" s="882"/>
      <c r="B555" s="890"/>
      <c r="C555" s="890"/>
      <c r="D555" s="890"/>
      <c r="E555" s="891"/>
    </row>
    <row r="556" spans="1:5" ht="12.75">
      <c r="A556" s="499" t="s">
        <v>202</v>
      </c>
      <c r="B556" s="73" t="s">
        <v>203</v>
      </c>
      <c r="C556" s="499" t="s">
        <v>204</v>
      </c>
      <c r="D556" s="502"/>
      <c r="E556" s="73"/>
    </row>
    <row r="557" spans="1:5" ht="12.75">
      <c r="A557" s="500"/>
      <c r="B557" s="74"/>
      <c r="C557" s="500"/>
      <c r="D557" s="503"/>
      <c r="E557" s="74">
        <v>2018</v>
      </c>
    </row>
    <row r="558" spans="1:5" ht="13.5" thickBot="1">
      <c r="A558" s="501"/>
      <c r="B558" s="75" t="s">
        <v>205</v>
      </c>
      <c r="C558" s="501"/>
      <c r="D558" s="504"/>
      <c r="E558" s="76"/>
    </row>
    <row r="559" spans="1:5" ht="12.75">
      <c r="A559" s="494"/>
      <c r="B559" s="872"/>
      <c r="C559" s="494"/>
      <c r="D559" s="315" t="s">
        <v>206</v>
      </c>
      <c r="E559" s="874"/>
    </row>
    <row r="560" spans="1:5" ht="13.5" thickBot="1">
      <c r="A560" s="495"/>
      <c r="B560" s="873"/>
      <c r="C560" s="495"/>
      <c r="D560" s="316" t="s">
        <v>60</v>
      </c>
      <c r="E560" s="875"/>
    </row>
    <row r="561" spans="1:5" ht="12.75">
      <c r="A561" s="494"/>
      <c r="B561" s="872"/>
      <c r="C561" s="494"/>
      <c r="D561" s="315" t="s">
        <v>206</v>
      </c>
      <c r="E561" s="874"/>
    </row>
    <row r="562" spans="1:5" ht="13.5" thickBot="1">
      <c r="A562" s="495"/>
      <c r="B562" s="873"/>
      <c r="C562" s="495"/>
      <c r="D562" s="316" t="s">
        <v>60</v>
      </c>
      <c r="E562" s="876"/>
    </row>
    <row r="563" spans="1:5" ht="12.75">
      <c r="A563" s="494"/>
      <c r="B563" s="872"/>
      <c r="C563" s="494"/>
      <c r="D563" s="315" t="s">
        <v>206</v>
      </c>
      <c r="E563" s="874"/>
    </row>
    <row r="564" spans="1:5" ht="13.5" thickBot="1">
      <c r="A564" s="495"/>
      <c r="B564" s="873"/>
      <c r="C564" s="495"/>
      <c r="D564" s="316" t="s">
        <v>60</v>
      </c>
      <c r="E564" s="887"/>
    </row>
    <row r="565" spans="1:5" ht="12.75">
      <c r="A565" s="494"/>
      <c r="B565" s="884"/>
      <c r="C565" s="494"/>
      <c r="D565" s="318" t="s">
        <v>206</v>
      </c>
      <c r="E565" s="895"/>
    </row>
    <row r="566" spans="1:5" ht="13.5" thickBot="1">
      <c r="A566" s="495"/>
      <c r="B566" s="884"/>
      <c r="C566" s="495"/>
      <c r="D566" s="319" t="s">
        <v>60</v>
      </c>
      <c r="E566" s="889"/>
    </row>
    <row r="567" spans="1:5" ht="12.75">
      <c r="A567" s="494"/>
      <c r="B567" s="872"/>
      <c r="C567" s="494"/>
      <c r="D567" s="315" t="s">
        <v>206</v>
      </c>
      <c r="E567" s="896"/>
    </row>
    <row r="568" spans="1:5" ht="13.5" thickBot="1">
      <c r="A568" s="495"/>
      <c r="B568" s="873"/>
      <c r="C568" s="495"/>
      <c r="D568" s="316" t="s">
        <v>60</v>
      </c>
      <c r="E568" s="875"/>
    </row>
    <row r="569" spans="1:5" ht="12.75">
      <c r="A569" s="494"/>
      <c r="B569" s="872"/>
      <c r="C569" s="494"/>
      <c r="D569" s="315" t="s">
        <v>206</v>
      </c>
      <c r="E569" s="872"/>
    </row>
    <row r="570" spans="1:5" ht="13.5" thickBot="1">
      <c r="A570" s="495"/>
      <c r="B570" s="873"/>
      <c r="C570" s="495"/>
      <c r="D570" s="316" t="s">
        <v>60</v>
      </c>
      <c r="E570" s="875"/>
    </row>
    <row r="571" spans="1:5" ht="12.75">
      <c r="A571" s="494"/>
      <c r="B571" s="897"/>
      <c r="C571" s="494"/>
      <c r="D571" s="315" t="s">
        <v>206</v>
      </c>
      <c r="E571" s="872"/>
    </row>
    <row r="572" spans="1:5" ht="13.5" thickBot="1">
      <c r="A572" s="495"/>
      <c r="B572" s="898"/>
      <c r="C572" s="495"/>
      <c r="D572" s="316" t="s">
        <v>60</v>
      </c>
      <c r="E572" s="875"/>
    </row>
    <row r="573" spans="1:5" ht="12.75">
      <c r="A573" s="494"/>
      <c r="B573" s="494"/>
      <c r="C573" s="494"/>
      <c r="D573" s="315" t="s">
        <v>206</v>
      </c>
      <c r="E573" s="494"/>
    </row>
    <row r="574" spans="1:5" ht="13.5" thickBot="1">
      <c r="A574" s="495"/>
      <c r="B574" s="495"/>
      <c r="C574" s="495"/>
      <c r="D574" s="316" t="s">
        <v>60</v>
      </c>
      <c r="E574" s="495"/>
    </row>
    <row r="575" spans="1:5" ht="12.75">
      <c r="A575" s="494"/>
      <c r="B575" s="494"/>
      <c r="C575" s="494"/>
      <c r="D575" s="315" t="s">
        <v>206</v>
      </c>
      <c r="E575" s="494"/>
    </row>
    <row r="576" spans="1:5" ht="13.5" thickBot="1">
      <c r="A576" s="495"/>
      <c r="B576" s="495"/>
      <c r="C576" s="495"/>
      <c r="D576" s="316" t="s">
        <v>60</v>
      </c>
      <c r="E576" s="495"/>
    </row>
    <row r="577" spans="1:5" ht="12.75">
      <c r="A577" s="494"/>
      <c r="B577" s="494"/>
      <c r="C577" s="494"/>
      <c r="D577" s="315" t="s">
        <v>206</v>
      </c>
      <c r="E577" s="494"/>
    </row>
    <row r="578" spans="1:5" ht="13.5" thickBot="1">
      <c r="A578" s="495"/>
      <c r="B578" s="495"/>
      <c r="C578" s="495"/>
      <c r="D578" s="316" t="s">
        <v>60</v>
      </c>
      <c r="E578" s="495"/>
    </row>
    <row r="579" spans="1:5" ht="12.75">
      <c r="A579" s="494"/>
      <c r="B579" s="494"/>
      <c r="C579" s="494"/>
      <c r="D579" s="315" t="s">
        <v>206</v>
      </c>
      <c r="E579" s="494"/>
    </row>
    <row r="580" spans="1:5" ht="13.5" thickBot="1">
      <c r="A580" s="495"/>
      <c r="B580" s="495"/>
      <c r="C580" s="495"/>
      <c r="D580" s="316" t="s">
        <v>60</v>
      </c>
      <c r="E580" s="495"/>
    </row>
    <row r="581" spans="1:5" ht="12.75">
      <c r="A581" s="494"/>
      <c r="B581" s="494"/>
      <c r="C581" s="494"/>
      <c r="D581" s="315" t="s">
        <v>206</v>
      </c>
      <c r="E581" s="494"/>
    </row>
    <row r="582" spans="1:5" ht="13.5" thickBot="1">
      <c r="A582" s="495"/>
      <c r="B582" s="495"/>
      <c r="C582" s="495"/>
      <c r="D582" s="315" t="s">
        <v>60</v>
      </c>
      <c r="E582" s="495"/>
    </row>
    <row r="583" spans="1:5" ht="13.5" thickBot="1">
      <c r="A583" s="496" t="s">
        <v>207</v>
      </c>
      <c r="B583" s="497"/>
      <c r="C583" s="497"/>
      <c r="D583" s="498"/>
      <c r="E583" s="317">
        <f>E560+E562+E564+E566+E568+E570+E572</f>
        <v>0</v>
      </c>
    </row>
  </sheetData>
  <sheetProtection/>
  <mergeCells count="613">
    <mergeCell ref="A583:D583"/>
    <mergeCell ref="A579:A580"/>
    <mergeCell ref="B579:B580"/>
    <mergeCell ref="C579:C580"/>
    <mergeCell ref="E579:E580"/>
    <mergeCell ref="A581:A582"/>
    <mergeCell ref="B581:B582"/>
    <mergeCell ref="C581:C582"/>
    <mergeCell ref="E581:E582"/>
    <mergeCell ref="A575:A576"/>
    <mergeCell ref="B575:B576"/>
    <mergeCell ref="C575:C576"/>
    <mergeCell ref="E575:E576"/>
    <mergeCell ref="A577:A578"/>
    <mergeCell ref="B577:B578"/>
    <mergeCell ref="C577:C578"/>
    <mergeCell ref="E577:E578"/>
    <mergeCell ref="A571:A572"/>
    <mergeCell ref="C571:C572"/>
    <mergeCell ref="A573:A574"/>
    <mergeCell ref="B573:B574"/>
    <mergeCell ref="C573:C574"/>
    <mergeCell ref="E573:E574"/>
    <mergeCell ref="A565:A566"/>
    <mergeCell ref="C565:C566"/>
    <mergeCell ref="A567:A568"/>
    <mergeCell ref="C567:C568"/>
    <mergeCell ref="A569:A570"/>
    <mergeCell ref="C569:C570"/>
    <mergeCell ref="A559:A560"/>
    <mergeCell ref="C559:C560"/>
    <mergeCell ref="A561:A562"/>
    <mergeCell ref="C561:C562"/>
    <mergeCell ref="A563:A564"/>
    <mergeCell ref="C563:C564"/>
    <mergeCell ref="A551:E551"/>
    <mergeCell ref="A553:B553"/>
    <mergeCell ref="A554:E554"/>
    <mergeCell ref="A555:E555"/>
    <mergeCell ref="A556:A558"/>
    <mergeCell ref="C556:C558"/>
    <mergeCell ref="D556:D558"/>
    <mergeCell ref="A544:A545"/>
    <mergeCell ref="B544:B545"/>
    <mergeCell ref="C544:C545"/>
    <mergeCell ref="E544:E545"/>
    <mergeCell ref="A546:D546"/>
    <mergeCell ref="A550:E550"/>
    <mergeCell ref="A542:A543"/>
    <mergeCell ref="B542:B543"/>
    <mergeCell ref="C542:C543"/>
    <mergeCell ref="E542:E543"/>
    <mergeCell ref="A540:A541"/>
    <mergeCell ref="C540:C541"/>
    <mergeCell ref="A534:A535"/>
    <mergeCell ref="C534:C535"/>
    <mergeCell ref="A536:A537"/>
    <mergeCell ref="C536:C537"/>
    <mergeCell ref="A538:A539"/>
    <mergeCell ref="C538:C539"/>
    <mergeCell ref="A528:E528"/>
    <mergeCell ref="A529:A531"/>
    <mergeCell ref="C529:C531"/>
    <mergeCell ref="D529:D531"/>
    <mergeCell ref="A532:A533"/>
    <mergeCell ref="C532:C533"/>
    <mergeCell ref="A519:D519"/>
    <mergeCell ref="A523:E523"/>
    <mergeCell ref="A524:E524"/>
    <mergeCell ref="A526:B526"/>
    <mergeCell ref="A527:E527"/>
    <mergeCell ref="A515:A516"/>
    <mergeCell ref="B515:B516"/>
    <mergeCell ref="C515:C516"/>
    <mergeCell ref="E515:E516"/>
    <mergeCell ref="A517:A518"/>
    <mergeCell ref="B517:B518"/>
    <mergeCell ref="C517:C518"/>
    <mergeCell ref="E517:E518"/>
    <mergeCell ref="A509:A510"/>
    <mergeCell ref="C509:C510"/>
    <mergeCell ref="A511:A512"/>
    <mergeCell ref="C511:C512"/>
    <mergeCell ref="A513:A514"/>
    <mergeCell ref="C513:C514"/>
    <mergeCell ref="A503:A504"/>
    <mergeCell ref="C503:C504"/>
    <mergeCell ref="A505:A506"/>
    <mergeCell ref="C505:C506"/>
    <mergeCell ref="A507:A508"/>
    <mergeCell ref="C507:C508"/>
    <mergeCell ref="A495:E495"/>
    <mergeCell ref="A497:B497"/>
    <mergeCell ref="A498:E498"/>
    <mergeCell ref="A499:E499"/>
    <mergeCell ref="A500:A502"/>
    <mergeCell ref="C500:C502"/>
    <mergeCell ref="D500:D502"/>
    <mergeCell ref="A488:A489"/>
    <mergeCell ref="B488:B489"/>
    <mergeCell ref="C488:C489"/>
    <mergeCell ref="E488:E489"/>
    <mergeCell ref="A490:D490"/>
    <mergeCell ref="A494:E494"/>
    <mergeCell ref="A482:A483"/>
    <mergeCell ref="C482:C483"/>
    <mergeCell ref="A484:A485"/>
    <mergeCell ref="C484:C485"/>
    <mergeCell ref="A486:A487"/>
    <mergeCell ref="C486:C487"/>
    <mergeCell ref="A476:A477"/>
    <mergeCell ref="C476:C477"/>
    <mergeCell ref="A478:A479"/>
    <mergeCell ref="C478:C479"/>
    <mergeCell ref="A480:A481"/>
    <mergeCell ref="C480:C481"/>
    <mergeCell ref="A470:E470"/>
    <mergeCell ref="A471:A473"/>
    <mergeCell ref="C471:C473"/>
    <mergeCell ref="D471:D473"/>
    <mergeCell ref="A474:A475"/>
    <mergeCell ref="C474:C475"/>
    <mergeCell ref="A461:D461"/>
    <mergeCell ref="A465:E465"/>
    <mergeCell ref="A466:E466"/>
    <mergeCell ref="A468:B468"/>
    <mergeCell ref="A469:E469"/>
    <mergeCell ref="A457:A458"/>
    <mergeCell ref="B457:B458"/>
    <mergeCell ref="C457:C458"/>
    <mergeCell ref="E457:E458"/>
    <mergeCell ref="A459:A460"/>
    <mergeCell ref="B459:B460"/>
    <mergeCell ref="C459:C460"/>
    <mergeCell ref="E459:E460"/>
    <mergeCell ref="A455:A456"/>
    <mergeCell ref="B455:B456"/>
    <mergeCell ref="C455:C456"/>
    <mergeCell ref="E455:E456"/>
    <mergeCell ref="A451:A452"/>
    <mergeCell ref="C451:C452"/>
    <mergeCell ref="A453:A454"/>
    <mergeCell ref="C453:C454"/>
    <mergeCell ref="A445:A446"/>
    <mergeCell ref="C445:C446"/>
    <mergeCell ref="A447:A448"/>
    <mergeCell ref="C447:C448"/>
    <mergeCell ref="A449:A450"/>
    <mergeCell ref="C449:C450"/>
    <mergeCell ref="A433:D433"/>
    <mergeCell ref="A436:E436"/>
    <mergeCell ref="A439:B439"/>
    <mergeCell ref="A440:E440"/>
    <mergeCell ref="A441:E441"/>
    <mergeCell ref="A442:A444"/>
    <mergeCell ref="C442:C444"/>
    <mergeCell ref="D442:D444"/>
    <mergeCell ref="A431:A432"/>
    <mergeCell ref="B431:B432"/>
    <mergeCell ref="C431:C432"/>
    <mergeCell ref="E431:E432"/>
    <mergeCell ref="A425:A426"/>
    <mergeCell ref="C425:C426"/>
    <mergeCell ref="A427:A428"/>
    <mergeCell ref="C427:C428"/>
    <mergeCell ref="A429:A430"/>
    <mergeCell ref="C429:C430"/>
    <mergeCell ref="A419:A420"/>
    <mergeCell ref="C419:C420"/>
    <mergeCell ref="A421:A422"/>
    <mergeCell ref="C421:C422"/>
    <mergeCell ref="A423:A424"/>
    <mergeCell ref="C423:C424"/>
    <mergeCell ref="A411:E411"/>
    <mergeCell ref="A413:B413"/>
    <mergeCell ref="A414:E414"/>
    <mergeCell ref="A415:E415"/>
    <mergeCell ref="A416:A418"/>
    <mergeCell ref="C416:C418"/>
    <mergeCell ref="D416:D418"/>
    <mergeCell ref="A403:A404"/>
    <mergeCell ref="B403:B404"/>
    <mergeCell ref="C403:C404"/>
    <mergeCell ref="E403:E404"/>
    <mergeCell ref="A405:D405"/>
    <mergeCell ref="A410:E410"/>
    <mergeCell ref="A401:A402"/>
    <mergeCell ref="B401:B402"/>
    <mergeCell ref="C401:C402"/>
    <mergeCell ref="E401:E402"/>
    <mergeCell ref="A397:A398"/>
    <mergeCell ref="C397:C398"/>
    <mergeCell ref="A399:A400"/>
    <mergeCell ref="C399:C400"/>
    <mergeCell ref="A437:E437"/>
    <mergeCell ref="A391:A392"/>
    <mergeCell ref="C391:C392"/>
    <mergeCell ref="A393:A394"/>
    <mergeCell ref="C393:C394"/>
    <mergeCell ref="A395:A396"/>
    <mergeCell ref="C395:C396"/>
    <mergeCell ref="A385:E385"/>
    <mergeCell ref="A386:A388"/>
    <mergeCell ref="C386:C388"/>
    <mergeCell ref="D386:D388"/>
    <mergeCell ref="A389:A390"/>
    <mergeCell ref="C389:C390"/>
    <mergeCell ref="A374:D374"/>
    <mergeCell ref="A380:E380"/>
    <mergeCell ref="A381:E381"/>
    <mergeCell ref="A383:B383"/>
    <mergeCell ref="A384:E384"/>
    <mergeCell ref="A370:A371"/>
    <mergeCell ref="B370:B371"/>
    <mergeCell ref="C370:C371"/>
    <mergeCell ref="E370:E371"/>
    <mergeCell ref="A372:A373"/>
    <mergeCell ref="B372:B373"/>
    <mergeCell ref="C372:C373"/>
    <mergeCell ref="E372:E373"/>
    <mergeCell ref="A366:A367"/>
    <mergeCell ref="B366:B367"/>
    <mergeCell ref="C366:C367"/>
    <mergeCell ref="E366:E367"/>
    <mergeCell ref="A368:A369"/>
    <mergeCell ref="B368:B369"/>
    <mergeCell ref="C368:C369"/>
    <mergeCell ref="E368:E369"/>
    <mergeCell ref="A360:A361"/>
    <mergeCell ref="C360:C361"/>
    <mergeCell ref="A362:A363"/>
    <mergeCell ref="C362:C363"/>
    <mergeCell ref="A364:A365"/>
    <mergeCell ref="C364:C365"/>
    <mergeCell ref="A354:E354"/>
    <mergeCell ref="A355:A357"/>
    <mergeCell ref="C355:C357"/>
    <mergeCell ref="D355:D357"/>
    <mergeCell ref="A358:A359"/>
    <mergeCell ref="C358:C359"/>
    <mergeCell ref="A344:D344"/>
    <mergeCell ref="A349:E349"/>
    <mergeCell ref="A350:E350"/>
    <mergeCell ref="A352:B352"/>
    <mergeCell ref="A353:E353"/>
    <mergeCell ref="A340:A341"/>
    <mergeCell ref="B340:B341"/>
    <mergeCell ref="C340:C341"/>
    <mergeCell ref="E340:E341"/>
    <mergeCell ref="A342:A343"/>
    <mergeCell ref="B342:B343"/>
    <mergeCell ref="C342:C343"/>
    <mergeCell ref="E342:E343"/>
    <mergeCell ref="A338:A339"/>
    <mergeCell ref="B338:B339"/>
    <mergeCell ref="C338:C339"/>
    <mergeCell ref="E338:E339"/>
    <mergeCell ref="A336:A337"/>
    <mergeCell ref="C336:C337"/>
    <mergeCell ref="A330:A331"/>
    <mergeCell ref="C330:C331"/>
    <mergeCell ref="A332:A333"/>
    <mergeCell ref="C332:C333"/>
    <mergeCell ref="A334:A335"/>
    <mergeCell ref="C334:C335"/>
    <mergeCell ref="A324:E324"/>
    <mergeCell ref="A325:A327"/>
    <mergeCell ref="C325:C327"/>
    <mergeCell ref="D325:D327"/>
    <mergeCell ref="A328:A329"/>
    <mergeCell ref="C328:C329"/>
    <mergeCell ref="A314:D314"/>
    <mergeCell ref="A319:E319"/>
    <mergeCell ref="A320:E320"/>
    <mergeCell ref="A322:B322"/>
    <mergeCell ref="A323:E323"/>
    <mergeCell ref="A310:A311"/>
    <mergeCell ref="B310:B311"/>
    <mergeCell ref="C310:C311"/>
    <mergeCell ref="E310:E311"/>
    <mergeCell ref="A312:A313"/>
    <mergeCell ref="B312:B313"/>
    <mergeCell ref="C312:C313"/>
    <mergeCell ref="E312:E313"/>
    <mergeCell ref="A308:A309"/>
    <mergeCell ref="B308:B309"/>
    <mergeCell ref="C308:C309"/>
    <mergeCell ref="E308:E309"/>
    <mergeCell ref="A306:A307"/>
    <mergeCell ref="C306:C307"/>
    <mergeCell ref="A300:A301"/>
    <mergeCell ref="C300:C301"/>
    <mergeCell ref="A302:A303"/>
    <mergeCell ref="C302:C303"/>
    <mergeCell ref="A304:A305"/>
    <mergeCell ref="C304:C305"/>
    <mergeCell ref="A294:E294"/>
    <mergeCell ref="A295:A297"/>
    <mergeCell ref="C295:C297"/>
    <mergeCell ref="D295:D297"/>
    <mergeCell ref="A298:A299"/>
    <mergeCell ref="C298:C299"/>
    <mergeCell ref="A284:D284"/>
    <mergeCell ref="A289:E289"/>
    <mergeCell ref="A290:E290"/>
    <mergeCell ref="A292:B292"/>
    <mergeCell ref="A293:E293"/>
    <mergeCell ref="A280:A281"/>
    <mergeCell ref="B280:B281"/>
    <mergeCell ref="C280:C281"/>
    <mergeCell ref="E280:E281"/>
    <mergeCell ref="A282:A283"/>
    <mergeCell ref="B282:B283"/>
    <mergeCell ref="C282:C283"/>
    <mergeCell ref="E282:E283"/>
    <mergeCell ref="A276:A277"/>
    <mergeCell ref="B276:B277"/>
    <mergeCell ref="C276:C277"/>
    <mergeCell ref="E276:E277"/>
    <mergeCell ref="A278:A279"/>
    <mergeCell ref="B278:B279"/>
    <mergeCell ref="C278:C279"/>
    <mergeCell ref="E278:E279"/>
    <mergeCell ref="A270:A271"/>
    <mergeCell ref="C270:C271"/>
    <mergeCell ref="A272:A273"/>
    <mergeCell ref="C272:C273"/>
    <mergeCell ref="A274:A275"/>
    <mergeCell ref="C274:C275"/>
    <mergeCell ref="A264:E264"/>
    <mergeCell ref="A265:A267"/>
    <mergeCell ref="C265:C267"/>
    <mergeCell ref="D265:D267"/>
    <mergeCell ref="A268:A269"/>
    <mergeCell ref="C268:C269"/>
    <mergeCell ref="A255:D255"/>
    <mergeCell ref="A259:E259"/>
    <mergeCell ref="A260:E260"/>
    <mergeCell ref="A262:B262"/>
    <mergeCell ref="A263:E263"/>
    <mergeCell ref="A251:A252"/>
    <mergeCell ref="B251:B252"/>
    <mergeCell ref="C251:C252"/>
    <mergeCell ref="E251:E252"/>
    <mergeCell ref="A253:A254"/>
    <mergeCell ref="B253:B254"/>
    <mergeCell ref="C253:C254"/>
    <mergeCell ref="E253:E254"/>
    <mergeCell ref="A247:A248"/>
    <mergeCell ref="B247:B248"/>
    <mergeCell ref="C247:C248"/>
    <mergeCell ref="E247:E248"/>
    <mergeCell ref="A249:A250"/>
    <mergeCell ref="B249:B250"/>
    <mergeCell ref="C249:C250"/>
    <mergeCell ref="E249:E250"/>
    <mergeCell ref="A241:A242"/>
    <mergeCell ref="C241:C242"/>
    <mergeCell ref="A243:A244"/>
    <mergeCell ref="C243:C244"/>
    <mergeCell ref="A245:A246"/>
    <mergeCell ref="C245:C246"/>
    <mergeCell ref="A233:E233"/>
    <mergeCell ref="A235:B235"/>
    <mergeCell ref="A236:E236"/>
    <mergeCell ref="A237:E237"/>
    <mergeCell ref="A238:A240"/>
    <mergeCell ref="C238:C240"/>
    <mergeCell ref="D238:D240"/>
    <mergeCell ref="A225:A226"/>
    <mergeCell ref="B225:B226"/>
    <mergeCell ref="C225:C226"/>
    <mergeCell ref="E225:E226"/>
    <mergeCell ref="A227:D227"/>
    <mergeCell ref="A232:E232"/>
    <mergeCell ref="A223:A224"/>
    <mergeCell ref="B223:B224"/>
    <mergeCell ref="C223:C224"/>
    <mergeCell ref="E223:E224"/>
    <mergeCell ref="A221:A222"/>
    <mergeCell ref="B221:B222"/>
    <mergeCell ref="C221:C222"/>
    <mergeCell ref="E221:E222"/>
    <mergeCell ref="A215:A216"/>
    <mergeCell ref="C215:C216"/>
    <mergeCell ref="A217:A218"/>
    <mergeCell ref="C217:C218"/>
    <mergeCell ref="A219:A220"/>
    <mergeCell ref="C219:C220"/>
    <mergeCell ref="A208:A210"/>
    <mergeCell ref="C208:C210"/>
    <mergeCell ref="D208:D210"/>
    <mergeCell ref="A211:A212"/>
    <mergeCell ref="C211:C212"/>
    <mergeCell ref="A213:A214"/>
    <mergeCell ref="C213:C214"/>
    <mergeCell ref="A197:D197"/>
    <mergeCell ref="A179:E179"/>
    <mergeCell ref="A202:E202"/>
    <mergeCell ref="A203:E203"/>
    <mergeCell ref="A205:B205"/>
    <mergeCell ref="A193:A194"/>
    <mergeCell ref="B193:B194"/>
    <mergeCell ref="C193:C194"/>
    <mergeCell ref="E193:E194"/>
    <mergeCell ref="A195:A196"/>
    <mergeCell ref="B195:B196"/>
    <mergeCell ref="C195:C196"/>
    <mergeCell ref="E195:E196"/>
    <mergeCell ref="A189:A190"/>
    <mergeCell ref="C189:C190"/>
    <mergeCell ref="A191:A192"/>
    <mergeCell ref="C191:C192"/>
    <mergeCell ref="A183:A184"/>
    <mergeCell ref="C183:C184"/>
    <mergeCell ref="A185:A186"/>
    <mergeCell ref="C185:C186"/>
    <mergeCell ref="A187:A188"/>
    <mergeCell ref="C187:C188"/>
    <mergeCell ref="A174:E174"/>
    <mergeCell ref="A175:E175"/>
    <mergeCell ref="A177:B177"/>
    <mergeCell ref="A178:E178"/>
    <mergeCell ref="A180:A182"/>
    <mergeCell ref="C180:C182"/>
    <mergeCell ref="D180:D182"/>
    <mergeCell ref="A168:A169"/>
    <mergeCell ref="B168:B169"/>
    <mergeCell ref="C168:C169"/>
    <mergeCell ref="E168:E169"/>
    <mergeCell ref="A170:D170"/>
    <mergeCell ref="A96:E96"/>
    <mergeCell ref="A164:A165"/>
    <mergeCell ref="B164:B165"/>
    <mergeCell ref="C164:C165"/>
    <mergeCell ref="E164:E165"/>
    <mergeCell ref="A166:A167"/>
    <mergeCell ref="B166:B167"/>
    <mergeCell ref="C166:C167"/>
    <mergeCell ref="E166:E167"/>
    <mergeCell ref="A162:A163"/>
    <mergeCell ref="B162:B163"/>
    <mergeCell ref="C162:C163"/>
    <mergeCell ref="E162:E163"/>
    <mergeCell ref="A160:A161"/>
    <mergeCell ref="C160:C161"/>
    <mergeCell ref="A153:A155"/>
    <mergeCell ref="C153:C155"/>
    <mergeCell ref="D153:D155"/>
    <mergeCell ref="A156:A157"/>
    <mergeCell ref="C156:C157"/>
    <mergeCell ref="A158:A159"/>
    <mergeCell ref="C158:C159"/>
    <mergeCell ref="A142:D142"/>
    <mergeCell ref="A147:E147"/>
    <mergeCell ref="A148:E148"/>
    <mergeCell ref="A150:B150"/>
    <mergeCell ref="A151:E151"/>
    <mergeCell ref="A140:A141"/>
    <mergeCell ref="B140:B141"/>
    <mergeCell ref="C140:C141"/>
    <mergeCell ref="E140:E141"/>
    <mergeCell ref="A136:A137"/>
    <mergeCell ref="C136:C137"/>
    <mergeCell ref="A138:A139"/>
    <mergeCell ref="B138:B139"/>
    <mergeCell ref="C138:C139"/>
    <mergeCell ref="E138:E139"/>
    <mergeCell ref="A130:A131"/>
    <mergeCell ref="C130:C131"/>
    <mergeCell ref="A132:A133"/>
    <mergeCell ref="C132:C133"/>
    <mergeCell ref="A134:A135"/>
    <mergeCell ref="C134:C135"/>
    <mergeCell ref="A2:E2"/>
    <mergeCell ref="A28:D28"/>
    <mergeCell ref="A26:A27"/>
    <mergeCell ref="B26:B27"/>
    <mergeCell ref="C26:C27"/>
    <mergeCell ref="E26:E27"/>
    <mergeCell ref="A24:A25"/>
    <mergeCell ref="B24:B25"/>
    <mergeCell ref="C24:C25"/>
    <mergeCell ref="E24:E25"/>
    <mergeCell ref="A22:A23"/>
    <mergeCell ref="B22:B23"/>
    <mergeCell ref="C22:C23"/>
    <mergeCell ref="E22:E23"/>
    <mergeCell ref="A20:A21"/>
    <mergeCell ref="B20:B21"/>
    <mergeCell ref="C20:C21"/>
    <mergeCell ref="E20:E21"/>
    <mergeCell ref="C17:C18"/>
    <mergeCell ref="E17:E18"/>
    <mergeCell ref="A15:A16"/>
    <mergeCell ref="C15:C16"/>
    <mergeCell ref="C11:C12"/>
    <mergeCell ref="A119:E119"/>
    <mergeCell ref="A120:E120"/>
    <mergeCell ref="C40:C42"/>
    <mergeCell ref="D40:D42"/>
    <mergeCell ref="A13:A14"/>
    <mergeCell ref="A45:A46"/>
    <mergeCell ref="A17:A18"/>
    <mergeCell ref="B17:B18"/>
    <mergeCell ref="A43:A44"/>
    <mergeCell ref="A8:A10"/>
    <mergeCell ref="C8:C10"/>
    <mergeCell ref="D8:D10"/>
    <mergeCell ref="A3:E3"/>
    <mergeCell ref="A5:B5"/>
    <mergeCell ref="A6:E6"/>
    <mergeCell ref="C13:C14"/>
    <mergeCell ref="A11:A12"/>
    <mergeCell ref="A34:E34"/>
    <mergeCell ref="A35:E35"/>
    <mergeCell ref="A37:B37"/>
    <mergeCell ref="A38:E38"/>
    <mergeCell ref="A40:A42"/>
    <mergeCell ref="B47:B48"/>
    <mergeCell ref="C47:C48"/>
    <mergeCell ref="E47:E48"/>
    <mergeCell ref="B45:B46"/>
    <mergeCell ref="C45:C46"/>
    <mergeCell ref="E45:E46"/>
    <mergeCell ref="C43:C44"/>
    <mergeCell ref="A47:A48"/>
    <mergeCell ref="C51:C52"/>
    <mergeCell ref="E51:E52"/>
    <mergeCell ref="A55:A56"/>
    <mergeCell ref="B55:B56"/>
    <mergeCell ref="C55:C56"/>
    <mergeCell ref="E55:E56"/>
    <mergeCell ref="A49:A50"/>
    <mergeCell ref="B49:B50"/>
    <mergeCell ref="C49:C50"/>
    <mergeCell ref="E49:E50"/>
    <mergeCell ref="A51:A52"/>
    <mergeCell ref="B51:B52"/>
    <mergeCell ref="A57:D57"/>
    <mergeCell ref="A61:E61"/>
    <mergeCell ref="A62:E62"/>
    <mergeCell ref="A64:B64"/>
    <mergeCell ref="A53:A54"/>
    <mergeCell ref="B53:B54"/>
    <mergeCell ref="C53:C54"/>
    <mergeCell ref="E53:E54"/>
    <mergeCell ref="A65:E65"/>
    <mergeCell ref="A67:A69"/>
    <mergeCell ref="C67:C69"/>
    <mergeCell ref="D67:D69"/>
    <mergeCell ref="A70:A71"/>
    <mergeCell ref="C70:C71"/>
    <mergeCell ref="A72:A73"/>
    <mergeCell ref="B72:B73"/>
    <mergeCell ref="C72:C73"/>
    <mergeCell ref="E72:E73"/>
    <mergeCell ref="A74:A75"/>
    <mergeCell ref="B74:B75"/>
    <mergeCell ref="C74:C75"/>
    <mergeCell ref="E74:E75"/>
    <mergeCell ref="A76:A77"/>
    <mergeCell ref="B76:B77"/>
    <mergeCell ref="C76:C77"/>
    <mergeCell ref="E76:E77"/>
    <mergeCell ref="A78:A79"/>
    <mergeCell ref="B78:B79"/>
    <mergeCell ref="C78:C79"/>
    <mergeCell ref="E78:E79"/>
    <mergeCell ref="A80:A81"/>
    <mergeCell ref="B80:B81"/>
    <mergeCell ref="C80:C81"/>
    <mergeCell ref="E80:E81"/>
    <mergeCell ref="A82:A83"/>
    <mergeCell ref="B82:B83"/>
    <mergeCell ref="C82:C83"/>
    <mergeCell ref="E82:E83"/>
    <mergeCell ref="A84:A85"/>
    <mergeCell ref="B84:B85"/>
    <mergeCell ref="C84:C85"/>
    <mergeCell ref="E84:E85"/>
    <mergeCell ref="A86:D86"/>
    <mergeCell ref="A91:E91"/>
    <mergeCell ref="A92:E92"/>
    <mergeCell ref="A94:B94"/>
    <mergeCell ref="A95:E95"/>
    <mergeCell ref="A97:A99"/>
    <mergeCell ref="C97:C99"/>
    <mergeCell ref="D97:D99"/>
    <mergeCell ref="A100:A101"/>
    <mergeCell ref="C100:C101"/>
    <mergeCell ref="A102:A103"/>
    <mergeCell ref="C102:C103"/>
    <mergeCell ref="A122:B122"/>
    <mergeCell ref="A123:E123"/>
    <mergeCell ref="A104:A105"/>
    <mergeCell ref="C104:C105"/>
    <mergeCell ref="A106:A107"/>
    <mergeCell ref="C106:C107"/>
    <mergeCell ref="A108:A109"/>
    <mergeCell ref="C108:C109"/>
    <mergeCell ref="A110:A111"/>
    <mergeCell ref="C110:C111"/>
    <mergeCell ref="A207:E207"/>
    <mergeCell ref="A112:A113"/>
    <mergeCell ref="C112:C113"/>
    <mergeCell ref="A125:A127"/>
    <mergeCell ref="A114:D114"/>
    <mergeCell ref="A206:E206"/>
    <mergeCell ref="C125:C127"/>
    <mergeCell ref="D125:D127"/>
    <mergeCell ref="A128:A129"/>
    <mergeCell ref="C128:C129"/>
  </mergeCells>
  <printOptions/>
  <pageMargins left="0.787401575" right="0.787401575" top="0.984251969" bottom="0.984251969" header="0.492125985" footer="0.492125985"/>
  <pageSetup orientation="landscape" paperSize="9" scale="86" r:id="rId2"/>
  <rowBreaks count="13" manualBreakCount="13">
    <brk id="29" max="255" man="1"/>
    <brk id="59" max="255" man="1"/>
    <brk id="88" max="255" man="1"/>
    <brk id="117" max="255" man="1"/>
    <brk id="145" max="255" man="1"/>
    <brk id="173" max="255" man="1"/>
    <brk id="200" max="255" man="1"/>
    <brk id="258" max="255" man="1"/>
    <brk id="287" max="255" man="1"/>
    <brk id="347" max="255" man="1"/>
    <brk id="463" max="255" man="1"/>
    <brk id="493" max="255" man="1"/>
    <brk id="54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2.28125" style="0" customWidth="1"/>
    <col min="4" max="4" width="14.421875" style="0" customWidth="1"/>
    <col min="5" max="5" width="11.28125" style="0" customWidth="1"/>
    <col min="6" max="6" width="12.421875" style="0" customWidth="1"/>
    <col min="7" max="7" width="10.8515625" style="0" customWidth="1"/>
    <col min="8" max="8" width="11.57421875" style="0" customWidth="1"/>
    <col min="10" max="10" width="7.28125" style="0" customWidth="1"/>
    <col min="11" max="11" width="3.7109375" style="0" hidden="1" customWidth="1"/>
    <col min="12" max="12" width="13.140625" style="0" customWidth="1"/>
  </cols>
  <sheetData>
    <row r="1" spans="1:12" ht="12.75">
      <c r="A1" s="512" t="s">
        <v>210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4"/>
    </row>
    <row r="2" spans="1:12" ht="13.5" thickBot="1">
      <c r="A2" s="515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7"/>
    </row>
    <row r="3" spans="1:12" ht="15.75">
      <c r="A3" s="518" t="s">
        <v>516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20"/>
    </row>
    <row r="4" spans="1:12" ht="15.75">
      <c r="A4" s="521" t="s">
        <v>211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3"/>
    </row>
    <row r="5" spans="1:12" ht="16.5" thickBot="1">
      <c r="A5" s="524" t="s">
        <v>212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6"/>
    </row>
    <row r="6" spans="1:12" ht="15.75" thickBot="1">
      <c r="A6" s="534" t="s">
        <v>213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6"/>
    </row>
    <row r="7" spans="1:12" ht="13.5" thickBot="1">
      <c r="A7" s="537"/>
      <c r="B7" s="538"/>
      <c r="C7" s="78"/>
      <c r="D7" s="78"/>
      <c r="E7" s="539" t="s">
        <v>214</v>
      </c>
      <c r="F7" s="540"/>
      <c r="G7" s="541"/>
      <c r="H7" s="539" t="s">
        <v>517</v>
      </c>
      <c r="I7" s="540"/>
      <c r="J7" s="540"/>
      <c r="K7" s="540"/>
      <c r="L7" s="541"/>
    </row>
    <row r="8" spans="1:12" ht="12.75">
      <c r="A8" s="545" t="s">
        <v>215</v>
      </c>
      <c r="B8" s="546"/>
      <c r="C8" s="532" t="s">
        <v>216</v>
      </c>
      <c r="D8" s="532" t="s">
        <v>217</v>
      </c>
      <c r="E8" s="532" t="s">
        <v>518</v>
      </c>
      <c r="F8" s="532" t="s">
        <v>519</v>
      </c>
      <c r="G8" s="532" t="s">
        <v>520</v>
      </c>
      <c r="H8" s="532" t="s">
        <v>218</v>
      </c>
      <c r="I8" s="545" t="s">
        <v>224</v>
      </c>
      <c r="J8" s="549"/>
      <c r="K8" s="546"/>
      <c r="L8" s="532" t="s">
        <v>219</v>
      </c>
    </row>
    <row r="9" spans="1:12" ht="29.25" customHeight="1" thickBot="1">
      <c r="A9" s="547"/>
      <c r="B9" s="548"/>
      <c r="C9" s="533"/>
      <c r="D9" s="533"/>
      <c r="E9" s="533"/>
      <c r="F9" s="533"/>
      <c r="G9" s="533"/>
      <c r="H9" s="533"/>
      <c r="I9" s="547"/>
      <c r="J9" s="550"/>
      <c r="K9" s="548"/>
      <c r="L9" s="533"/>
    </row>
    <row r="10" spans="1:12" ht="13.5" thickBot="1">
      <c r="A10" s="527"/>
      <c r="B10" s="528"/>
      <c r="C10" s="181"/>
      <c r="D10" s="182"/>
      <c r="E10" s="183"/>
      <c r="F10" s="183"/>
      <c r="G10" s="183"/>
      <c r="H10" s="184"/>
      <c r="I10" s="542"/>
      <c r="J10" s="543"/>
      <c r="K10" s="544"/>
      <c r="L10" s="184"/>
    </row>
    <row r="11" spans="1:12" ht="13.5" thickBot="1">
      <c r="A11" s="527"/>
      <c r="B11" s="528"/>
      <c r="C11" s="185"/>
      <c r="D11" s="186"/>
      <c r="E11" s="183"/>
      <c r="F11" s="183"/>
      <c r="G11" s="183"/>
      <c r="H11" s="186"/>
      <c r="I11" s="529"/>
      <c r="J11" s="530"/>
      <c r="K11" s="531"/>
      <c r="L11" s="186"/>
    </row>
    <row r="12" spans="1:12" ht="13.5" thickBot="1">
      <c r="A12" s="527"/>
      <c r="B12" s="528"/>
      <c r="C12" s="187"/>
      <c r="D12" s="186"/>
      <c r="E12" s="183"/>
      <c r="F12" s="183"/>
      <c r="G12" s="183"/>
      <c r="H12" s="186"/>
      <c r="I12" s="529"/>
      <c r="J12" s="530"/>
      <c r="K12" s="531"/>
      <c r="L12" s="186"/>
    </row>
    <row r="13" spans="1:12" ht="13.5" thickBot="1">
      <c r="A13" s="527"/>
      <c r="B13" s="528"/>
      <c r="C13" s="187"/>
      <c r="D13" s="186"/>
      <c r="E13" s="183"/>
      <c r="F13" s="183"/>
      <c r="G13" s="183"/>
      <c r="H13" s="186"/>
      <c r="I13" s="529"/>
      <c r="J13" s="530"/>
      <c r="K13" s="531"/>
      <c r="L13" s="186"/>
    </row>
    <row r="14" spans="1:12" ht="27" customHeight="1" thickBot="1">
      <c r="A14" s="527"/>
      <c r="B14" s="528"/>
      <c r="C14" s="185"/>
      <c r="D14" s="186"/>
      <c r="E14" s="183"/>
      <c r="F14" s="183"/>
      <c r="G14" s="183"/>
      <c r="H14" s="186"/>
      <c r="I14" s="529"/>
      <c r="J14" s="530"/>
      <c r="K14" s="531"/>
      <c r="L14" s="186"/>
    </row>
    <row r="15" spans="1:12" ht="13.5" thickBot="1">
      <c r="A15" s="527"/>
      <c r="B15" s="528"/>
      <c r="C15" s="187"/>
      <c r="D15" s="186"/>
      <c r="E15" s="183"/>
      <c r="F15" s="183"/>
      <c r="G15" s="183"/>
      <c r="H15" s="186"/>
      <c r="I15" s="529"/>
      <c r="J15" s="530"/>
      <c r="K15" s="531"/>
      <c r="L15" s="186"/>
    </row>
    <row r="16" spans="1:12" ht="13.5" thickBot="1">
      <c r="A16" s="527"/>
      <c r="B16" s="528"/>
      <c r="C16" s="185"/>
      <c r="D16" s="186"/>
      <c r="E16" s="183"/>
      <c r="F16" s="183"/>
      <c r="G16" s="183"/>
      <c r="H16" s="186"/>
      <c r="I16" s="529"/>
      <c r="J16" s="530"/>
      <c r="K16" s="531"/>
      <c r="L16" s="186"/>
    </row>
    <row r="17" spans="1:12" ht="13.5" thickBot="1">
      <c r="A17" s="527"/>
      <c r="B17" s="528"/>
      <c r="C17" s="185"/>
      <c r="D17" s="186"/>
      <c r="E17" s="183"/>
      <c r="F17" s="183"/>
      <c r="G17" s="183"/>
      <c r="H17" s="186"/>
      <c r="I17" s="529"/>
      <c r="J17" s="530"/>
      <c r="K17" s="531"/>
      <c r="L17" s="186"/>
    </row>
    <row r="18" spans="1:12" ht="13.5" thickBot="1">
      <c r="A18" s="527"/>
      <c r="B18" s="528"/>
      <c r="C18" s="185"/>
      <c r="D18" s="186"/>
      <c r="E18" s="183"/>
      <c r="F18" s="183"/>
      <c r="G18" s="183"/>
      <c r="H18" s="186"/>
      <c r="I18" s="529"/>
      <c r="J18" s="530"/>
      <c r="K18" s="531"/>
      <c r="L18" s="186"/>
    </row>
    <row r="19" spans="1:12" ht="13.5" thickBot="1">
      <c r="A19" s="527"/>
      <c r="B19" s="528"/>
      <c r="C19" s="185"/>
      <c r="D19" s="186"/>
      <c r="E19" s="183"/>
      <c r="F19" s="183"/>
      <c r="G19" s="183"/>
      <c r="H19" s="186"/>
      <c r="I19" s="529"/>
      <c r="J19" s="530"/>
      <c r="K19" s="531"/>
      <c r="L19" s="186"/>
    </row>
    <row r="20" spans="1:12" ht="13.5" thickBot="1">
      <c r="A20" s="527"/>
      <c r="B20" s="528"/>
      <c r="C20" s="185"/>
      <c r="D20" s="186"/>
      <c r="E20" s="183"/>
      <c r="F20" s="183"/>
      <c r="G20" s="183"/>
      <c r="H20" s="186"/>
      <c r="I20" s="529"/>
      <c r="J20" s="530"/>
      <c r="K20" s="531"/>
      <c r="L20" s="186"/>
    </row>
    <row r="21" spans="1:12" ht="13.5" thickBot="1">
      <c r="A21" s="527"/>
      <c r="B21" s="528"/>
      <c r="C21" s="185"/>
      <c r="D21" s="186"/>
      <c r="E21" s="183"/>
      <c r="F21" s="183"/>
      <c r="G21" s="183"/>
      <c r="H21" s="186"/>
      <c r="I21" s="529"/>
      <c r="J21" s="530"/>
      <c r="K21" s="531"/>
      <c r="L21" s="186"/>
    </row>
    <row r="22" spans="1:12" ht="13.5" thickBot="1">
      <c r="A22" s="527"/>
      <c r="B22" s="528"/>
      <c r="C22" s="185"/>
      <c r="D22" s="186"/>
      <c r="E22" s="183"/>
      <c r="F22" s="183"/>
      <c r="G22" s="183"/>
      <c r="H22" s="186"/>
      <c r="I22" s="529"/>
      <c r="J22" s="530"/>
      <c r="K22" s="531"/>
      <c r="L22" s="186"/>
    </row>
    <row r="23" spans="1:12" ht="13.5" thickBot="1">
      <c r="A23" s="527"/>
      <c r="B23" s="528"/>
      <c r="C23" s="185"/>
      <c r="D23" s="186"/>
      <c r="E23" s="183"/>
      <c r="F23" s="183"/>
      <c r="G23" s="183"/>
      <c r="H23" s="186"/>
      <c r="I23" s="529"/>
      <c r="J23" s="530"/>
      <c r="K23" s="531"/>
      <c r="L23" s="186"/>
    </row>
    <row r="24" spans="1:12" ht="13.5" thickBot="1">
      <c r="A24" s="527"/>
      <c r="B24" s="528"/>
      <c r="C24" s="185"/>
      <c r="D24" s="186"/>
      <c r="E24" s="183"/>
      <c r="F24" s="183"/>
      <c r="G24" s="183"/>
      <c r="H24" s="186"/>
      <c r="I24" s="529"/>
      <c r="J24" s="530"/>
      <c r="K24" s="531"/>
      <c r="L24" s="186"/>
    </row>
    <row r="25" spans="1:12" ht="13.5" thickBot="1">
      <c r="A25" s="527"/>
      <c r="B25" s="528"/>
      <c r="C25" s="185"/>
      <c r="D25" s="186"/>
      <c r="E25" s="183"/>
      <c r="F25" s="183"/>
      <c r="G25" s="183"/>
      <c r="H25" s="186"/>
      <c r="I25" s="529"/>
      <c r="J25" s="530"/>
      <c r="K25" s="531"/>
      <c r="L25" s="186"/>
    </row>
    <row r="26" spans="1:12" ht="13.5" thickBot="1">
      <c r="A26" s="527"/>
      <c r="B26" s="528"/>
      <c r="C26" s="185"/>
      <c r="D26" s="186"/>
      <c r="E26" s="183"/>
      <c r="F26" s="183"/>
      <c r="G26" s="183"/>
      <c r="H26" s="186"/>
      <c r="I26" s="529"/>
      <c r="J26" s="530"/>
      <c r="K26" s="531"/>
      <c r="L26" s="186"/>
    </row>
    <row r="27" spans="1:12" ht="13.5" thickBot="1">
      <c r="A27" s="551" t="s">
        <v>220</v>
      </c>
      <c r="B27" s="552"/>
      <c r="C27" s="552"/>
      <c r="D27" s="552"/>
      <c r="E27" s="552"/>
      <c r="F27" s="552"/>
      <c r="G27" s="553"/>
      <c r="H27" s="180">
        <f>SUM(H10:H26)</f>
        <v>0</v>
      </c>
      <c r="I27" s="554">
        <v>0</v>
      </c>
      <c r="J27" s="555"/>
      <c r="K27" s="556"/>
      <c r="L27" s="180">
        <f>SUM(L10:L26)</f>
        <v>0</v>
      </c>
    </row>
    <row r="30" ht="12.75">
      <c r="N30" s="188"/>
    </row>
  </sheetData>
  <sheetProtection/>
  <mergeCells count="53">
    <mergeCell ref="A27:G27"/>
    <mergeCell ref="I27:K27"/>
    <mergeCell ref="A25:B25"/>
    <mergeCell ref="I25:K25"/>
    <mergeCell ref="A26:B26"/>
    <mergeCell ref="I26:K26"/>
    <mergeCell ref="A23:B23"/>
    <mergeCell ref="I23:K23"/>
    <mergeCell ref="A24:B24"/>
    <mergeCell ref="I24:K24"/>
    <mergeCell ref="A21:B21"/>
    <mergeCell ref="I21:K21"/>
    <mergeCell ref="A22:B22"/>
    <mergeCell ref="I22:K22"/>
    <mergeCell ref="A20:B20"/>
    <mergeCell ref="I20:K20"/>
    <mergeCell ref="A12:B12"/>
    <mergeCell ref="I12:K12"/>
    <mergeCell ref="A13:B13"/>
    <mergeCell ref="I13:K13"/>
    <mergeCell ref="A14:B14"/>
    <mergeCell ref="I14:K14"/>
    <mergeCell ref="A15:B15"/>
    <mergeCell ref="I15:K15"/>
    <mergeCell ref="A6:L6"/>
    <mergeCell ref="A7:B7"/>
    <mergeCell ref="E7:G7"/>
    <mergeCell ref="A10:B10"/>
    <mergeCell ref="I10:K10"/>
    <mergeCell ref="E8:E9"/>
    <mergeCell ref="A8:B9"/>
    <mergeCell ref="C8:C9"/>
    <mergeCell ref="I8:K9"/>
    <mergeCell ref="H7:L7"/>
    <mergeCell ref="D8:D9"/>
    <mergeCell ref="A19:B19"/>
    <mergeCell ref="I19:K19"/>
    <mergeCell ref="A16:B16"/>
    <mergeCell ref="I16:K16"/>
    <mergeCell ref="A17:B17"/>
    <mergeCell ref="I17:K17"/>
    <mergeCell ref="A18:B18"/>
    <mergeCell ref="I18:K18"/>
    <mergeCell ref="A1:L2"/>
    <mergeCell ref="A3:L3"/>
    <mergeCell ref="A4:L4"/>
    <mergeCell ref="A5:L5"/>
    <mergeCell ref="A11:B11"/>
    <mergeCell ref="I11:K11"/>
    <mergeCell ref="L8:L9"/>
    <mergeCell ref="F8:F9"/>
    <mergeCell ref="G8:G9"/>
    <mergeCell ref="H8:H9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FU292"/>
  <sheetViews>
    <sheetView zoomScale="75" zoomScaleNormal="75" zoomScaleSheetLayoutView="30" workbookViewId="0" topLeftCell="A1">
      <selection activeCell="A102" sqref="A102:I102"/>
    </sheetView>
  </sheetViews>
  <sheetFormatPr defaultColWidth="19.140625" defaultRowHeight="12.75"/>
  <cols>
    <col min="1" max="1" width="27.7109375" style="4" customWidth="1"/>
    <col min="2" max="2" width="53.57421875" style="4" customWidth="1"/>
    <col min="3" max="6" width="20.7109375" style="4" customWidth="1"/>
    <col min="7" max="7" width="22.421875" style="4" customWidth="1"/>
    <col min="8" max="8" width="22.8515625" style="4" customWidth="1"/>
    <col min="9" max="9" width="23.00390625" style="4" customWidth="1"/>
    <col min="10" max="177" width="19.140625" style="99" customWidth="1"/>
    <col min="178" max="16384" width="19.140625" style="4" customWidth="1"/>
  </cols>
  <sheetData>
    <row r="1" spans="1:177" s="2" customFormat="1" ht="53.25" customHeight="1">
      <c r="A1" s="335" t="str">
        <f>Parâmetros!A7</f>
        <v>Município de Balneário Pinhal</v>
      </c>
      <c r="B1" s="336"/>
      <c r="C1" s="336"/>
      <c r="D1" s="336"/>
      <c r="E1" s="336"/>
      <c r="F1" s="336"/>
      <c r="G1" s="336"/>
      <c r="H1" s="336"/>
      <c r="I1" s="336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</row>
    <row r="2" spans="1:177" s="2" customFormat="1" ht="30" customHeight="1">
      <c r="A2" s="337" t="str">
        <f>Parâmetros!A8</f>
        <v>LEI DE DIRETRIZES ORÇAMENTÁRIAS  PARA 2018</v>
      </c>
      <c r="B2" s="338"/>
      <c r="C2" s="338"/>
      <c r="D2" s="338"/>
      <c r="E2" s="338"/>
      <c r="F2" s="338"/>
      <c r="G2" s="338"/>
      <c r="H2" s="338"/>
      <c r="I2" s="33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</row>
    <row r="3" spans="1:177" s="2" customFormat="1" ht="19.5" customHeight="1">
      <c r="A3" s="339" t="s">
        <v>567</v>
      </c>
      <c r="B3" s="338"/>
      <c r="C3" s="338"/>
      <c r="D3" s="338"/>
      <c r="E3" s="338"/>
      <c r="F3" s="338"/>
      <c r="G3" s="338"/>
      <c r="H3" s="338"/>
      <c r="I3" s="338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</row>
    <row r="4" spans="1:177" s="2" customFormat="1" ht="15.75" hidden="1">
      <c r="A4" s="16"/>
      <c r="B4" s="17"/>
      <c r="C4" s="17"/>
      <c r="D4" s="17"/>
      <c r="E4" s="17"/>
      <c r="F4" s="17"/>
      <c r="G4" s="17"/>
      <c r="H4" s="17"/>
      <c r="I4" s="17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</row>
    <row r="5" spans="1:177" s="2" customFormat="1" ht="15.75">
      <c r="A5" s="18"/>
      <c r="B5" s="19"/>
      <c r="C5" s="19"/>
      <c r="D5" s="19"/>
      <c r="E5" s="19"/>
      <c r="F5" s="19"/>
      <c r="G5" s="19"/>
      <c r="H5" s="19"/>
      <c r="I5" s="20" t="s">
        <v>58</v>
      </c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</row>
    <row r="6" spans="1:177" s="1" customFormat="1" ht="15.75">
      <c r="A6" s="114"/>
      <c r="B6" s="115" t="s">
        <v>0</v>
      </c>
      <c r="C6" s="116" t="s">
        <v>234</v>
      </c>
      <c r="D6" s="116" t="s">
        <v>234</v>
      </c>
      <c r="E6" s="116" t="s">
        <v>234</v>
      </c>
      <c r="F6" s="117" t="s">
        <v>134</v>
      </c>
      <c r="G6" s="117" t="s">
        <v>12</v>
      </c>
      <c r="H6" s="118" t="s">
        <v>12</v>
      </c>
      <c r="I6" s="119" t="s">
        <v>12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</row>
    <row r="7" spans="1:177" s="1" customFormat="1" ht="27.75" customHeight="1">
      <c r="A7" s="120"/>
      <c r="B7" s="121" t="s">
        <v>8</v>
      </c>
      <c r="C7" s="122">
        <v>2014</v>
      </c>
      <c r="D7" s="123">
        <v>2015</v>
      </c>
      <c r="E7" s="123">
        <v>2016</v>
      </c>
      <c r="F7" s="123">
        <v>2017</v>
      </c>
      <c r="G7" s="123">
        <v>2018</v>
      </c>
      <c r="H7" s="123">
        <v>2019</v>
      </c>
      <c r="I7" s="123">
        <v>2020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</row>
    <row r="8" spans="1:177" s="82" customFormat="1" ht="17.25" customHeight="1">
      <c r="A8" s="124" t="s">
        <v>237</v>
      </c>
      <c r="B8" s="125" t="s">
        <v>238</v>
      </c>
      <c r="C8" s="126">
        <f>C9+C15+C23+C34+C35+C36+C37+C65</f>
        <v>37965168.75</v>
      </c>
      <c r="D8" s="126">
        <f>D9+D15+D23+D34+D35+D36+D37+D65</f>
        <v>40252837.239999995</v>
      </c>
      <c r="E8" s="126">
        <f>E9+E15+E23+E34+E35+E36+E37+E65</f>
        <v>44593352.35000001</v>
      </c>
      <c r="F8" s="126">
        <f>F9+F15+F23+F34+F35+F36+F37+F65</f>
        <v>44410097.46</v>
      </c>
      <c r="G8" s="126">
        <f>G9+G15+G23+G34+G35+G36+G37+G65</f>
        <v>45571866.62286158</v>
      </c>
      <c r="H8" s="126">
        <f>H9+H15+H23+H34+H35+H36+H37+H65</f>
        <v>47503227.95569311</v>
      </c>
      <c r="I8" s="126">
        <f>I9+I15+I23+I34+I35+I36+I37+I65</f>
        <v>49464385.530867964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</row>
    <row r="9" spans="1:177" s="8" customFormat="1" ht="12.75">
      <c r="A9" s="127" t="s">
        <v>239</v>
      </c>
      <c r="B9" s="128" t="s">
        <v>240</v>
      </c>
      <c r="C9" s="129">
        <f aca="true" t="shared" si="0" ref="C9:I9">SUM(C10:C14)</f>
        <v>7280040.66</v>
      </c>
      <c r="D9" s="129">
        <f>SUM(D10:D14)</f>
        <v>7519749.78</v>
      </c>
      <c r="E9" s="129">
        <f t="shared" si="0"/>
        <v>7417617.630000001</v>
      </c>
      <c r="F9" s="129">
        <f t="shared" si="0"/>
        <v>7730368.43</v>
      </c>
      <c r="G9" s="129">
        <f t="shared" si="0"/>
        <v>7600495.07</v>
      </c>
      <c r="H9" s="129">
        <f t="shared" si="0"/>
        <v>7913861.674216518</v>
      </c>
      <c r="I9" s="129">
        <f t="shared" si="0"/>
        <v>8209695.914556988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</row>
    <row r="10" spans="1:177" s="8" customFormat="1" ht="25.5">
      <c r="A10" s="130" t="s">
        <v>429</v>
      </c>
      <c r="B10" s="131" t="s">
        <v>432</v>
      </c>
      <c r="C10" s="84">
        <v>0</v>
      </c>
      <c r="D10" s="84"/>
      <c r="E10" s="84"/>
      <c r="F10" s="84"/>
      <c r="G10" s="132">
        <f>(((D10*(1+Parâmetros!B11)*(1+Parâmetros!C11)*(1+Parâmetros!D11))+(E10*(1+Parâmetros!C11)*(1+Parâmetros!D11)+(F10*(1+Parâmetros!D11))))/3)*(1+Parâmetros!E11)*(1+Parâmetros!E15)</f>
        <v>0</v>
      </c>
      <c r="H10" s="132">
        <f>G10*(1+Parâmetros!F11)*(1+Parâmetros!F15)</f>
        <v>0</v>
      </c>
      <c r="I10" s="132">
        <f>H10*(1+Parâmetros!G11)*(1+Parâmetros!G15)</f>
        <v>0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</row>
    <row r="11" spans="1:177" s="8" customFormat="1" ht="25.5">
      <c r="A11" s="130" t="s">
        <v>430</v>
      </c>
      <c r="B11" s="131" t="s">
        <v>433</v>
      </c>
      <c r="C11" s="84">
        <v>0</v>
      </c>
      <c r="D11" s="84"/>
      <c r="E11" s="84"/>
      <c r="F11" s="84"/>
      <c r="G11" s="132">
        <f>(((D11*(1+Parâmetros!B11)*(1+Parâmetros!C11)*(1+Parâmetros!D11))+(E11*(1+Parâmetros!C11)*(1+Parâmetros!D11)+(F11*(1+Parâmetros!D11))))/3)*(1+Parâmetros!E11)*(1+Parâmetros!E15)</f>
        <v>0</v>
      </c>
      <c r="H11" s="132">
        <f>G11*(1+Parâmetros!F11)*(1+Parâmetros!F15)</f>
        <v>0</v>
      </c>
      <c r="I11" s="132">
        <f>H11*(1+Parâmetros!G11)*(1+Parâmetros!G15)</f>
        <v>0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</row>
    <row r="12" spans="1:177" s="8" customFormat="1" ht="15">
      <c r="A12" s="130" t="s">
        <v>241</v>
      </c>
      <c r="B12" s="131" t="s">
        <v>431</v>
      </c>
      <c r="C12" s="84">
        <v>5589056.42</v>
      </c>
      <c r="D12" s="84">
        <v>5649267.73</v>
      </c>
      <c r="E12" s="84">
        <v>5608408.82</v>
      </c>
      <c r="F12" s="84">
        <v>6020000</v>
      </c>
      <c r="G12" s="132">
        <v>6130486.11</v>
      </c>
      <c r="H12" s="132">
        <v>6411388.07</v>
      </c>
      <c r="I12" s="132">
        <v>6665206.16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</row>
    <row r="13" spans="1:177" s="8" customFormat="1" ht="12" customHeight="1">
      <c r="A13" s="130" t="s">
        <v>242</v>
      </c>
      <c r="B13" s="131" t="s">
        <v>243</v>
      </c>
      <c r="C13" s="84">
        <v>1690984.24</v>
      </c>
      <c r="D13" s="84">
        <v>1870482.05</v>
      </c>
      <c r="E13" s="84">
        <v>1809208.81</v>
      </c>
      <c r="F13" s="84">
        <v>1710368.43</v>
      </c>
      <c r="G13" s="132">
        <v>1470008.96</v>
      </c>
      <c r="H13" s="132">
        <f>G13*(1+Parâmetros!F11)*(1+Parâmetros!F15)</f>
        <v>1502473.6042165176</v>
      </c>
      <c r="I13" s="132">
        <f>H13*(1+Parâmetros!G11)*(1+Parâmetros!G15)</f>
        <v>1544489.7545569874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</row>
    <row r="14" spans="1:177" s="8" customFormat="1" ht="15">
      <c r="A14" s="130" t="s">
        <v>244</v>
      </c>
      <c r="B14" s="131" t="s">
        <v>245</v>
      </c>
      <c r="C14" s="84">
        <v>0</v>
      </c>
      <c r="D14" s="84"/>
      <c r="E14" s="84"/>
      <c r="F14" s="84"/>
      <c r="G14" s="132">
        <f>(((D14*(1+Parâmetros!B11)*(1+Parâmetros!C11)*(1+Parâmetros!D11))+(E14*(1+Parâmetros!C11)*(1+Parâmetros!D11)+(F14*(1+Parâmetros!D11))))/3)*(1+Parâmetros!E11)*(1+Parâmetros!E15)</f>
        <v>0</v>
      </c>
      <c r="H14" s="132">
        <f>G14*(1+Parâmetros!F11)*(1+Parâmetros!F15)</f>
        <v>0</v>
      </c>
      <c r="I14" s="132">
        <f>H14*(1+Parâmetros!G11)*(1+Parâmetros!G15)</f>
        <v>0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</row>
    <row r="15" spans="1:177" ht="12.75">
      <c r="A15" s="127" t="s">
        <v>246</v>
      </c>
      <c r="B15" s="128" t="s">
        <v>247</v>
      </c>
      <c r="C15" s="129">
        <f>C16+C21+C22</f>
        <v>1757798.77</v>
      </c>
      <c r="D15" s="129">
        <f>D16+D21+D22</f>
        <v>1624441.5499999998</v>
      </c>
      <c r="E15" s="129">
        <f>E16+E21+E22</f>
        <v>2204255.46</v>
      </c>
      <c r="F15" s="129">
        <f>F16+F21+F22</f>
        <v>2455650</v>
      </c>
      <c r="G15" s="129">
        <f>G16+G21+G22</f>
        <v>2562961.914599239</v>
      </c>
      <c r="H15" s="129">
        <f>H16+H21+H22</f>
        <v>2658395.021030481</v>
      </c>
      <c r="I15" s="129">
        <f>I16+I21+I22</f>
        <v>2746765.8846678957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</row>
    <row r="16" spans="1:177" ht="12.75">
      <c r="A16" s="127" t="s">
        <v>248</v>
      </c>
      <c r="B16" s="128" t="s">
        <v>249</v>
      </c>
      <c r="C16" s="129">
        <f aca="true" t="shared" si="1" ref="C16:I16">SUM(C17:C20)</f>
        <v>799656.14</v>
      </c>
      <c r="D16" s="129">
        <f t="shared" si="1"/>
        <v>707735.1</v>
      </c>
      <c r="E16" s="129">
        <f t="shared" si="1"/>
        <v>1047830.1</v>
      </c>
      <c r="F16" s="129">
        <f t="shared" si="1"/>
        <v>1200000</v>
      </c>
      <c r="G16" s="129">
        <f t="shared" si="1"/>
        <v>1258196.95</v>
      </c>
      <c r="H16" s="129">
        <f t="shared" si="1"/>
        <v>1302964.121030481</v>
      </c>
      <c r="I16" s="129">
        <f t="shared" si="1"/>
        <v>1323941.0146678954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</row>
    <row r="17" spans="1:177" ht="25.5">
      <c r="A17" s="130" t="s">
        <v>250</v>
      </c>
      <c r="B17" s="131" t="s">
        <v>416</v>
      </c>
      <c r="C17" s="84">
        <v>799656.14</v>
      </c>
      <c r="D17" s="84">
        <v>707735.1</v>
      </c>
      <c r="E17" s="84">
        <v>1047830.1</v>
      </c>
      <c r="F17" s="84">
        <v>1200000</v>
      </c>
      <c r="G17" s="132">
        <v>1258196.95</v>
      </c>
      <c r="H17" s="132">
        <f>G17*(1+Parâmetros!F11)*(1+Parâmetros!F13)*(1+Parâmetros!F18)</f>
        <v>1302964.121030481</v>
      </c>
      <c r="I17" s="132">
        <f>H17*(1+Parâmetros!G11)*(1+Parâmetros!G13)*(1+Parâmetros!G18)</f>
        <v>1323941.0146678954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</row>
    <row r="18" spans="1:177" ht="15">
      <c r="A18" s="130" t="s">
        <v>251</v>
      </c>
      <c r="B18" s="131" t="s">
        <v>252</v>
      </c>
      <c r="C18" s="84"/>
      <c r="D18" s="84"/>
      <c r="E18" s="84"/>
      <c r="F18" s="84"/>
      <c r="G18" s="132">
        <f>(((D18*(1+Parâmetros!B11)*(1+Parâmetros!C11)*(1+Parâmetros!D11))+(E18*(1+Parâmetros!C11)*(1+Parâmetros!D11)+(F18*(1+Parâmetros!D11))))/3)*(1+Parâmetros!E11)</f>
        <v>0</v>
      </c>
      <c r="H18" s="132">
        <f>G18*(1+Parâmetros!F11)</f>
        <v>0</v>
      </c>
      <c r="I18" s="132">
        <f>H18*(1+Parâmetros!G11)</f>
        <v>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</row>
    <row r="19" spans="1:177" ht="15">
      <c r="A19" s="130" t="s">
        <v>253</v>
      </c>
      <c r="B19" s="131" t="s">
        <v>254</v>
      </c>
      <c r="C19" s="84"/>
      <c r="D19" s="84"/>
      <c r="E19" s="84"/>
      <c r="F19" s="84"/>
      <c r="G19" s="132">
        <f>(((D19*(1+Parâmetros!B11)*(1+Parâmetros!C11)*(1+Parâmetros!D11))+(E19*(1+Parâmetros!C11)*(1+Parâmetros!D11)+(F19*(1+Parâmetros!D11))))/3)*(1+Parâmetros!E11)</f>
        <v>0</v>
      </c>
      <c r="H19" s="132">
        <f>G19*(1+Parâmetros!F11)</f>
        <v>0</v>
      </c>
      <c r="I19" s="132">
        <f>H19*(1+Parâmetros!G11)</f>
        <v>0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</row>
    <row r="20" spans="1:177" ht="25.5">
      <c r="A20" s="130" t="s">
        <v>255</v>
      </c>
      <c r="B20" s="131" t="s">
        <v>256</v>
      </c>
      <c r="C20" s="84"/>
      <c r="D20" s="84"/>
      <c r="E20" s="84"/>
      <c r="F20" s="84"/>
      <c r="G20" s="132">
        <f>(((D20*(1+Parâmetros!B11)*(1+Parâmetros!C11)*(1+Parâmetros!D11))+(E20*(1+Parâmetros!C11)*(1+Parâmetros!D11)+(F20*(1+Parâmetros!D11))))/3)*(1+Parâmetros!E11)</f>
        <v>0</v>
      </c>
      <c r="H20" s="132">
        <f>G20*(1+Parâmetros!F11)</f>
        <v>0</v>
      </c>
      <c r="I20" s="132">
        <f>H20*(1+Parâmetros!G11)</f>
        <v>0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</row>
    <row r="21" spans="1:177" s="8" customFormat="1" ht="15">
      <c r="A21" s="130" t="s">
        <v>257</v>
      </c>
      <c r="B21" s="131" t="s">
        <v>258</v>
      </c>
      <c r="C21" s="84"/>
      <c r="D21" s="84"/>
      <c r="E21" s="84"/>
      <c r="F21" s="84"/>
      <c r="G21" s="132">
        <f>(((D21*(1+Parâmetros!B11)*(1+Parâmetros!C11)*(1+Parâmetros!D11))+(E21*(1+Parâmetros!C11)*(1+Parâmetros!D11)+(F21*(1+Parâmetros!D11))))/3)*(1+Parâmetros!E11)</f>
        <v>0</v>
      </c>
      <c r="H21" s="132">
        <f>G21*(1+Parâmetros!F11)</f>
        <v>0</v>
      </c>
      <c r="I21" s="132">
        <f>H21*(1+Parâmetros!G11)</f>
        <v>0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</row>
    <row r="22" spans="1:177" s="8" customFormat="1" ht="24.75" customHeight="1">
      <c r="A22" s="130" t="s">
        <v>259</v>
      </c>
      <c r="B22" s="131" t="s">
        <v>260</v>
      </c>
      <c r="C22" s="84">
        <v>958142.63</v>
      </c>
      <c r="D22" s="84">
        <v>916706.45</v>
      </c>
      <c r="E22" s="84">
        <v>1156425.36</v>
      </c>
      <c r="F22" s="84">
        <v>1255650</v>
      </c>
      <c r="G22" s="132">
        <f>(((D22*(1+Parâmetros!B11)*(1+Parâmetros!C11)*(1+Parâmetros!D11))+(E22*(1+Parâmetros!C11)*(1+Parâmetros!D11)+(F22*(1+Parâmetros!D11))))/3)*(1+Parâmetros!E11)*(1+Parâmetros!E12)</f>
        <v>1304764.9645992392</v>
      </c>
      <c r="H22" s="132">
        <v>1355430.9</v>
      </c>
      <c r="I22" s="132">
        <v>1422824.87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</row>
    <row r="23" spans="1:177" s="8" customFormat="1" ht="12.75">
      <c r="A23" s="127" t="s">
        <v>261</v>
      </c>
      <c r="B23" s="128" t="s">
        <v>262</v>
      </c>
      <c r="C23" s="129">
        <f>C24+C25+C31+C32+C33</f>
        <v>1030619.07</v>
      </c>
      <c r="D23" s="129">
        <f aca="true" t="shared" si="2" ref="D23:I23">D24+D25+D31+D32+D33</f>
        <v>1598886.61</v>
      </c>
      <c r="E23" s="129">
        <f t="shared" si="2"/>
        <v>2306436.8400000003</v>
      </c>
      <c r="F23" s="129">
        <f t="shared" si="2"/>
        <v>2250000</v>
      </c>
      <c r="G23" s="129">
        <f t="shared" si="2"/>
        <v>2348324.986336221</v>
      </c>
      <c r="H23" s="129">
        <f>H24+H25+H31+H32+H33</f>
        <v>2449302.9734064196</v>
      </c>
      <c r="I23" s="129">
        <f t="shared" si="2"/>
        <v>2553888.2138644564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</row>
    <row r="24" spans="1:177" s="8" customFormat="1" ht="15">
      <c r="A24" s="130" t="s">
        <v>263</v>
      </c>
      <c r="B24" s="131" t="s">
        <v>264</v>
      </c>
      <c r="C24" s="84">
        <v>40050</v>
      </c>
      <c r="D24" s="84">
        <v>30705.96</v>
      </c>
      <c r="E24" s="84">
        <v>37329.65</v>
      </c>
      <c r="F24" s="84">
        <v>40000</v>
      </c>
      <c r="G24" s="132">
        <f>(((D24*(1+Parâmetros!B11)*(1+Parâmetros!C11)*(1+Parâmetros!D11))+(E24*(1+Parâmetros!C11)*(1+Parâmetros!D11)+(F24*(1+Parâmetros!D11))))/3)*(1+Parâmetros!E11)</f>
        <v>41575.7412982299</v>
      </c>
      <c r="H24" s="132">
        <f>G24*(1+Parâmetros!F11)</f>
        <v>43342.71030340467</v>
      </c>
      <c r="I24" s="132">
        <f>H24*(1+Parâmetros!G11)</f>
        <v>45124.095696874596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</row>
    <row r="25" spans="1:177" s="81" customFormat="1" ht="15.75">
      <c r="A25" s="127" t="s">
        <v>265</v>
      </c>
      <c r="B25" s="128" t="s">
        <v>266</v>
      </c>
      <c r="C25" s="129">
        <f>SUM(C26:C30)</f>
        <v>990569.07</v>
      </c>
      <c r="D25" s="129">
        <f aca="true" t="shared" si="3" ref="D25:I25">SUM(D26:D30)</f>
        <v>1568180.6500000001</v>
      </c>
      <c r="E25" s="129">
        <f t="shared" si="3"/>
        <v>2269107.1900000004</v>
      </c>
      <c r="F25" s="129">
        <f t="shared" si="3"/>
        <v>2210000</v>
      </c>
      <c r="G25" s="129">
        <f>SUM(G26:G30)</f>
        <v>2306749.245037991</v>
      </c>
      <c r="H25" s="129">
        <f t="shared" si="3"/>
        <v>2405960.263103015</v>
      </c>
      <c r="I25" s="129">
        <f t="shared" si="3"/>
        <v>2508764.118167582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</row>
    <row r="26" spans="1:177" ht="25.5">
      <c r="A26" s="130" t="s">
        <v>267</v>
      </c>
      <c r="B26" s="131" t="s">
        <v>268</v>
      </c>
      <c r="C26" s="84">
        <v>24025.9</v>
      </c>
      <c r="D26" s="84">
        <v>49425.15</v>
      </c>
      <c r="E26" s="84">
        <v>108683.84</v>
      </c>
      <c r="F26" s="84">
        <v>70000</v>
      </c>
      <c r="G26" s="132">
        <f>(((D26*(1+Parâmetros!B11)*(1+Parâmetros!C11)*(1+Parâmetros!D11))+(E26*(1+Parâmetros!C11)*(1+Parâmetros!D11)+(F26*(1+Parâmetros!D11))))/3)*(1+Parâmetros!E11)*(1+Parâmetros!E12)</f>
        <v>89224.0192088205</v>
      </c>
      <c r="H26" s="132">
        <f>G26*(1+Parâmetros!F11)*(1+Parâmetros!F12)</f>
        <v>95313.53621381769</v>
      </c>
      <c r="I26" s="132">
        <f>H26*(1+Parâmetros!G11)*(1+Parâmetros!G12)</f>
        <v>101662.0801547346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</row>
    <row r="27" spans="1:177" ht="25.5">
      <c r="A27" s="130" t="s">
        <v>269</v>
      </c>
      <c r="B27" s="131" t="s">
        <v>270</v>
      </c>
      <c r="C27" s="84">
        <v>86601.45</v>
      </c>
      <c r="D27" s="84">
        <v>57278.88</v>
      </c>
      <c r="E27" s="84">
        <v>58227.17</v>
      </c>
      <c r="F27" s="84">
        <v>140000</v>
      </c>
      <c r="G27" s="132">
        <f>(((D27*(1+Parâmetros!B11)*(1+Parâmetros!C11)*(1+Parâmetros!D11))+(E27*(1+Parâmetros!C11)*(1+Parâmetros!D11)+(F27*(1+Parâmetros!D11))))/3)*(1+Parâmetros!E11)*(1+Parâmetros!E12)</f>
        <v>98601.25582917042</v>
      </c>
      <c r="H27" s="132">
        <f>G27*(1+Parâmetros!F11)*(1+Parâmetros!F12)</f>
        <v>105330.76688919733</v>
      </c>
      <c r="I27" s="132">
        <f>H27*(1+Parâmetros!G11)*(1+Parâmetros!G12)</f>
        <v>112346.52801284775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</row>
    <row r="28" spans="1:177" ht="25.5">
      <c r="A28" s="130" t="s">
        <v>271</v>
      </c>
      <c r="B28" s="131" t="s">
        <v>272</v>
      </c>
      <c r="C28" s="84">
        <v>879941.72</v>
      </c>
      <c r="D28" s="84">
        <v>1461476.62</v>
      </c>
      <c r="E28" s="84">
        <v>2102196.18</v>
      </c>
      <c r="F28" s="84">
        <v>2000000</v>
      </c>
      <c r="G28" s="132">
        <v>2118923.97</v>
      </c>
      <c r="H28" s="132">
        <v>2205315.96</v>
      </c>
      <c r="I28" s="132">
        <v>2294755.51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</row>
    <row r="29" spans="1:177" ht="15">
      <c r="A29" s="130" t="s">
        <v>273</v>
      </c>
      <c r="B29" s="131" t="s">
        <v>274</v>
      </c>
      <c r="C29" s="84"/>
      <c r="D29" s="84"/>
      <c r="E29" s="84"/>
      <c r="F29" s="84"/>
      <c r="G29" s="132">
        <f>(((D29*(1+Parâmetros!B11)*(1+Parâmetros!C11)*(1+Parâmetros!D11))+(E29*(1+Parâmetros!C11)*(1+Parâmetros!D11)+(F29*(1+Parâmetros!D11))))/3)*(1+Parâmetros!E11)*(1+Parâmetros!E12)</f>
        <v>0</v>
      </c>
      <c r="H29" s="132">
        <f>G29*(1+Parâmetros!F11)*(1+Parâmetros!F12)</f>
        <v>0</v>
      </c>
      <c r="I29" s="132">
        <f>H29*(1+Parâmetros!G11)*(1+Parâmetros!G12)</f>
        <v>0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</row>
    <row r="30" spans="1:177" ht="15">
      <c r="A30" s="130" t="s">
        <v>275</v>
      </c>
      <c r="B30" s="131" t="s">
        <v>276</v>
      </c>
      <c r="C30" s="84"/>
      <c r="D30" s="84"/>
      <c r="E30" s="84"/>
      <c r="F30" s="84"/>
      <c r="G30" s="132">
        <f>(((D30*(1+Parâmetros!B11)*(1+Parâmetros!C11)*(1+Parâmetros!D11))+(E30*(1+Parâmetros!C11)*(1+Parâmetros!D11)+(F30*(1+Parâmetros!D11))))/3)*(1+Parâmetros!E11)*(1+Parâmetros!E12)</f>
        <v>0</v>
      </c>
      <c r="H30" s="132">
        <f>G30*(1+Parâmetros!F11)*(1+Parâmetros!F12)</f>
        <v>0</v>
      </c>
      <c r="I30" s="132">
        <f>H30*(1+Parâmetros!G11)*(1+Parâmetros!G12)</f>
        <v>0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</row>
    <row r="31" spans="1:177" ht="25.5">
      <c r="A31" s="130" t="s">
        <v>277</v>
      </c>
      <c r="B31" s="131" t="s">
        <v>278</v>
      </c>
      <c r="C31" s="84"/>
      <c r="D31" s="84"/>
      <c r="E31" s="84"/>
      <c r="F31" s="84"/>
      <c r="G31" s="132">
        <f>(((D31*(1+Parâmetros!B11)*(1+Parâmetros!C11)*(1+Parâmetros!D11))+(E31*(1+Parâmetros!C11)*(1+Parâmetros!D11)+(F31*(1+Parâmetros!D11))))/3)*(1+Parâmetros!E11)*(1+Parâmetros!E12)</f>
        <v>0</v>
      </c>
      <c r="H31" s="132">
        <f>G31*(1+Parâmetros!F11)*(1+Parâmetros!F12)</f>
        <v>0</v>
      </c>
      <c r="I31" s="132">
        <f>H31*(1+Parâmetros!G11)*(1+Parâmetros!G12)</f>
        <v>0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</row>
    <row r="32" spans="1:177" ht="15">
      <c r="A32" s="130" t="s">
        <v>279</v>
      </c>
      <c r="B32" s="131" t="s">
        <v>280</v>
      </c>
      <c r="C32" s="84"/>
      <c r="D32" s="84"/>
      <c r="E32" s="84"/>
      <c r="F32" s="84"/>
      <c r="G32" s="132">
        <f>(((D32*(1+Parâmetros!B11)*(1+Parâmetros!C11)*(1+Parâmetros!D11))+(E32*(1+Parâmetros!C11)*(1+Parâmetros!D11)+(F32*(1+Parâmetros!D11))))/3)*(1+Parâmetros!E11)*(1+Parâmetros!E12)</f>
        <v>0</v>
      </c>
      <c r="H32" s="132">
        <f>G32*(1+Parâmetros!F11)*(1+Parâmetros!F12)</f>
        <v>0</v>
      </c>
      <c r="I32" s="132">
        <f>H32*(1+Parâmetros!G11)*(1+Parâmetros!G12)</f>
        <v>0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</row>
    <row r="33" spans="1:177" ht="15">
      <c r="A33" s="130" t="s">
        <v>281</v>
      </c>
      <c r="B33" s="131" t="s">
        <v>282</v>
      </c>
      <c r="C33" s="84"/>
      <c r="D33" s="84"/>
      <c r="E33" s="84"/>
      <c r="F33" s="84"/>
      <c r="G33" s="132">
        <f>(((D33*(1+Parâmetros!B11)*(1+Parâmetros!C11)*(1+Parâmetros!D11))+(E33*(1+Parâmetros!C11)*(1+Parâmetros!D11)+(F33*(1+Parâmetros!D11))))/3)*(1+Parâmetros!E11)*(1+Parâmetros!E12)</f>
        <v>0</v>
      </c>
      <c r="H33" s="132">
        <f>G33*(1+Parâmetros!F11)*(1+Parâmetros!F12)</f>
        <v>0</v>
      </c>
      <c r="I33" s="132">
        <f>H33*(1+Parâmetros!G11)*(1+Parâmetros!G12)</f>
        <v>0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</row>
    <row r="34" spans="1:177" ht="15">
      <c r="A34" s="130" t="s">
        <v>283</v>
      </c>
      <c r="B34" s="131" t="s">
        <v>284</v>
      </c>
      <c r="C34" s="84"/>
      <c r="D34" s="84"/>
      <c r="E34" s="84"/>
      <c r="F34" s="84"/>
      <c r="G34" s="132">
        <f>(((D34*(1+Parâmetros!B11)*(1+Parâmetros!C11)*(1+Parâmetros!D11))+(E34*(1+Parâmetros!C11)*(1+Parâmetros!D11)+(F34*(1+Parâmetros!D11))))/3)*(1+Parâmetros!E11)*(1+Parâmetros!E12)</f>
        <v>0</v>
      </c>
      <c r="H34" s="132">
        <f>G34*(1+Parâmetros!F11)*(1+Parâmetros!F12)</f>
        <v>0</v>
      </c>
      <c r="I34" s="132">
        <f>H34*(1+Parâmetros!G11)*(1+Parâmetros!G12)</f>
        <v>0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</row>
    <row r="35" spans="1:177" ht="15">
      <c r="A35" s="130" t="s">
        <v>315</v>
      </c>
      <c r="B35" s="131" t="s">
        <v>316</v>
      </c>
      <c r="C35" s="84"/>
      <c r="D35" s="84"/>
      <c r="E35" s="84"/>
      <c r="F35" s="84"/>
      <c r="G35" s="132">
        <f>(((D35*(1+Parâmetros!B11)*(1+Parâmetros!C11)*(1+Parâmetros!D11))+(E35*(1+Parâmetros!C11)*(1+Parâmetros!D11)+(F35*(1+Parâmetros!D11))))/3)*(1+Parâmetros!E11)*(1+Parâmetros!E12)</f>
        <v>0</v>
      </c>
      <c r="H35" s="132">
        <f>G35*(1+Parâmetros!F11)*(1+Parâmetros!F12)</f>
        <v>0</v>
      </c>
      <c r="I35" s="132">
        <f>H35*(1+Parâmetros!G11)*(1+Parâmetros!G12)</f>
        <v>0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</row>
    <row r="36" spans="1:177" ht="15">
      <c r="A36" s="130" t="s">
        <v>285</v>
      </c>
      <c r="B36" s="131" t="s">
        <v>286</v>
      </c>
      <c r="C36" s="84">
        <v>26634.84</v>
      </c>
      <c r="D36" s="84">
        <v>3477</v>
      </c>
      <c r="E36" s="84">
        <v>56585.61</v>
      </c>
      <c r="F36" s="84">
        <v>10000</v>
      </c>
      <c r="G36" s="132">
        <v>10437</v>
      </c>
      <c r="H36" s="132">
        <v>10885.79</v>
      </c>
      <c r="I36" s="132">
        <v>11350.61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</row>
    <row r="37" spans="1:177" s="7" customFormat="1" ht="12.75">
      <c r="A37" s="127" t="s">
        <v>287</v>
      </c>
      <c r="B37" s="128" t="s">
        <v>288</v>
      </c>
      <c r="C37" s="129">
        <f>C38+C50+C60+C61+C62+C63+C64</f>
        <v>26332369.240000002</v>
      </c>
      <c r="D37" s="129">
        <f aca="true" t="shared" si="4" ref="D37:I37">D38+D50+D60+D61+D62+D63+D64</f>
        <v>27242156.179999996</v>
      </c>
      <c r="E37" s="129">
        <f t="shared" si="4"/>
        <v>30408952.970000003</v>
      </c>
      <c r="F37" s="129">
        <f t="shared" si="4"/>
        <v>29402148.04</v>
      </c>
      <c r="G37" s="129">
        <f>G38+G50+G60+G61+G62+G63+G64</f>
        <v>30513456.654495817</v>
      </c>
      <c r="H37" s="129">
        <f t="shared" si="4"/>
        <v>31825535.279518608</v>
      </c>
      <c r="I37" s="129">
        <f t="shared" si="4"/>
        <v>33184485.639191415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</row>
    <row r="38" spans="1:177" s="7" customFormat="1" ht="12.75">
      <c r="A38" s="127" t="s">
        <v>289</v>
      </c>
      <c r="B38" s="128" t="s">
        <v>290</v>
      </c>
      <c r="C38" s="129">
        <f aca="true" t="shared" si="5" ref="C38:I38">SUM(C39:C49)</f>
        <v>12322175.080000002</v>
      </c>
      <c r="D38" s="129">
        <f t="shared" si="5"/>
        <v>12902893.04</v>
      </c>
      <c r="E38" s="129">
        <f t="shared" si="5"/>
        <v>14434542.85</v>
      </c>
      <c r="F38" s="129">
        <f t="shared" si="5"/>
        <v>14152753.85</v>
      </c>
      <c r="G38" s="129">
        <f t="shared" si="5"/>
        <v>14802972.933476353</v>
      </c>
      <c r="H38" s="129">
        <f t="shared" si="5"/>
        <v>15217391.247380285</v>
      </c>
      <c r="I38" s="129">
        <f t="shared" si="5"/>
        <v>15947606.375893433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</row>
    <row r="39" spans="1:177" ht="25.5">
      <c r="A39" s="130" t="s">
        <v>291</v>
      </c>
      <c r="B39" s="131" t="s">
        <v>292</v>
      </c>
      <c r="C39" s="84">
        <v>8418550.13</v>
      </c>
      <c r="D39" s="84">
        <v>8571332.25</v>
      </c>
      <c r="E39" s="84">
        <v>9708467.54</v>
      </c>
      <c r="F39" s="84">
        <v>9450000</v>
      </c>
      <c r="G39" s="132">
        <v>9967605.96</v>
      </c>
      <c r="H39" s="132">
        <v>10168059</v>
      </c>
      <c r="I39" s="132">
        <v>10635271.47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</row>
    <row r="40" spans="1:177" ht="25.5">
      <c r="A40" s="130" t="s">
        <v>293</v>
      </c>
      <c r="B40" s="131" t="s">
        <v>294</v>
      </c>
      <c r="C40" s="84"/>
      <c r="D40" s="84">
        <v>371451.27</v>
      </c>
      <c r="E40" s="84">
        <v>403145.85</v>
      </c>
      <c r="F40" s="84">
        <v>550000</v>
      </c>
      <c r="G40" s="132">
        <v>410556.28</v>
      </c>
      <c r="H40" s="132">
        <f>G40*(1+Parâmetros!F11)*(1+Parâmetros!F16)</f>
        <v>433728.97216306685</v>
      </c>
      <c r="I40" s="132">
        <v>495788.76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</row>
    <row r="41" spans="1:177" ht="25.5">
      <c r="A41" s="130" t="s">
        <v>295</v>
      </c>
      <c r="B41" s="131" t="s">
        <v>296</v>
      </c>
      <c r="C41" s="84"/>
      <c r="D41" s="84"/>
      <c r="E41" s="84">
        <v>286503.3</v>
      </c>
      <c r="F41" s="84"/>
      <c r="G41" s="132">
        <v>0</v>
      </c>
      <c r="H41" s="132">
        <f>G41*(1+Parâmetros!F11)*(1+Parâmetros!F16)</f>
        <v>0</v>
      </c>
      <c r="I41" s="132">
        <f>H41*(1+Parâmetros!G11)*(1+Parâmetros!G16)</f>
        <v>0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</row>
    <row r="42" spans="1:177" ht="15">
      <c r="A42" s="130" t="s">
        <v>297</v>
      </c>
      <c r="B42" s="131" t="s">
        <v>298</v>
      </c>
      <c r="C42" s="84">
        <v>9238.77</v>
      </c>
      <c r="D42" s="84">
        <v>8578.76</v>
      </c>
      <c r="E42" s="84">
        <v>2698.72</v>
      </c>
      <c r="F42" s="84">
        <v>3000</v>
      </c>
      <c r="G42" s="132">
        <f>(((D42*(1+Parâmetros!B11)*(1+Parâmetros!C11)*(1+Parâmetros!D11))+(E42*(1+Parâmetros!C11)*(1+Parâmetros!D11)+(F42*(1+Parâmetros!D11))))/3)*(1+Parâmetros!E11)*(1+Parâmetros!E16)</f>
        <v>5756.741414613337</v>
      </c>
      <c r="H42" s="132">
        <f>G42*(1+Parâmetros!F11)*(1+Parâmetros!F16)</f>
        <v>6081.664459666289</v>
      </c>
      <c r="I42" s="132">
        <f>H42*(1+Parâmetros!G11)*(1+Parâmetros!G16)</f>
        <v>6250.764508745537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</row>
    <row r="43" spans="1:177" ht="25.5">
      <c r="A43" s="130" t="s">
        <v>299</v>
      </c>
      <c r="B43" s="131" t="s">
        <v>300</v>
      </c>
      <c r="C43" s="84">
        <v>144335.85</v>
      </c>
      <c r="D43" s="84">
        <v>119635.38</v>
      </c>
      <c r="E43" s="84">
        <v>94600</v>
      </c>
      <c r="F43" s="84">
        <v>149500</v>
      </c>
      <c r="G43" s="132">
        <f>(((D43*(1+Parâmetros!B11)*(1+Parâmetros!C11)*(1+Parâmetros!D11))+(E43*(1+Parâmetros!C11)*(1+Parâmetros!D11)+(F43*(1+Parâmetros!D11))))/3)*(1+Parâmetros!E11)*(1+Parâmetros!E16)</f>
        <v>140955.25979720498</v>
      </c>
      <c r="H43" s="132">
        <f>G43*(1+Parâmetros!F11)*(1+Parâmetros!F16)</f>
        <v>148911.0821854187</v>
      </c>
      <c r="I43" s="132">
        <f>H43*(1+Parâmetros!G11)*(1+Parâmetros!G16)</f>
        <v>153051.53936996055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</row>
    <row r="44" spans="1:177" ht="25.5">
      <c r="A44" s="130" t="s">
        <v>301</v>
      </c>
      <c r="B44" s="131" t="s">
        <v>302</v>
      </c>
      <c r="C44" s="84">
        <v>2294575.62</v>
      </c>
      <c r="D44" s="84">
        <v>2305772.56</v>
      </c>
      <c r="E44" s="84">
        <v>2438450.19</v>
      </c>
      <c r="F44" s="84">
        <v>2510000</v>
      </c>
      <c r="G44" s="132">
        <v>2605575.17</v>
      </c>
      <c r="H44" s="132">
        <f>G44*(1+Parâmetros!F11)</f>
        <v>2716312.1147249998</v>
      </c>
      <c r="I44" s="132">
        <f>H44*(1+Parâmetros!G11)</f>
        <v>2827952.542640197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</row>
    <row r="45" spans="1:177" ht="25.5">
      <c r="A45" s="130" t="s">
        <v>303</v>
      </c>
      <c r="B45" s="131" t="s">
        <v>304</v>
      </c>
      <c r="C45" s="84">
        <v>323899.08</v>
      </c>
      <c r="D45" s="84">
        <v>461525.78</v>
      </c>
      <c r="E45" s="84">
        <v>403229.53</v>
      </c>
      <c r="F45" s="84">
        <v>369000</v>
      </c>
      <c r="G45" s="132">
        <v>401287.73</v>
      </c>
      <c r="H45" s="132">
        <f>G45*(1+Parâmetros!F11)</f>
        <v>418342.45852499997</v>
      </c>
      <c r="I45" s="132">
        <f>H45*(1+Parâmetros!G11)</f>
        <v>435536.33357037744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</row>
    <row r="46" spans="1:177" ht="25.5">
      <c r="A46" s="130" t="s">
        <v>305</v>
      </c>
      <c r="B46" s="131" t="s">
        <v>306</v>
      </c>
      <c r="C46" s="84">
        <v>953884.52</v>
      </c>
      <c r="D46" s="84">
        <v>1042418.51</v>
      </c>
      <c r="E46" s="84">
        <v>1049287.55</v>
      </c>
      <c r="F46" s="84">
        <v>1033000</v>
      </c>
      <c r="G46" s="132">
        <f>(((D46*(1+Parâmetros!B11)*(1+Parâmetros!C11)*(1+Parâmetros!D11))+(E46*(1+Parâmetros!C11)*(1+Parâmetros!D11)+(F46*(1+Parâmetros!D11))))/3)*(1+Parâmetros!E11)</f>
        <v>1211574.0653072798</v>
      </c>
      <c r="H46" s="132">
        <f>G46*(1+Parâmetros!F11)</f>
        <v>1263065.9630828393</v>
      </c>
      <c r="I46" s="132">
        <v>1328977.97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</row>
    <row r="47" spans="1:177" ht="25.5">
      <c r="A47" s="130" t="s">
        <v>307</v>
      </c>
      <c r="B47" s="131" t="s">
        <v>308</v>
      </c>
      <c r="C47" s="84">
        <v>20186.21</v>
      </c>
      <c r="D47" s="84">
        <v>22178.53</v>
      </c>
      <c r="E47" s="84">
        <v>22003.04</v>
      </c>
      <c r="F47" s="84">
        <v>88253.85</v>
      </c>
      <c r="G47" s="132">
        <f>(((D47*(1+Parâmetros!B11)*(1+Parâmetros!C11)*(1+Parâmetros!D11))+(E47*(1+Parâmetros!C11)*(1+Parâmetros!D11)+(F47*(1+Parâmetros!D11))))/3)*(1+Parâmetros!E11)*(1+Parâmetros!E16)</f>
        <v>49679.591052839794</v>
      </c>
      <c r="H47" s="132">
        <f>G47*(1+Parâmetros!F11)*(1+Parâmetros!F16)</f>
        <v>52483.61555894284</v>
      </c>
      <c r="I47" s="132">
        <f>H47*(1+Parâmetros!G11)*(1+Parâmetros!G16)</f>
        <v>53942.91704223456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</row>
    <row r="48" spans="1:177" ht="15">
      <c r="A48" s="130" t="s">
        <v>309</v>
      </c>
      <c r="B48" s="131" t="s">
        <v>310</v>
      </c>
      <c r="C48" s="84"/>
      <c r="D48" s="84"/>
      <c r="E48" s="84"/>
      <c r="F48" s="84"/>
      <c r="G48" s="132">
        <f>(((D48*(1+Parâmetros!B11)*(1+Parâmetros!C11)*(1+Parâmetros!D11))+(E48*(1+Parâmetros!C11)*(1+Parâmetros!D11)+(F48*(1+Parâmetros!D11))))/3)*(1+Parâmetros!E11)</f>
        <v>0</v>
      </c>
      <c r="H48" s="132">
        <f>G48*(1+Parâmetros!F11)</f>
        <v>0</v>
      </c>
      <c r="I48" s="132">
        <f>H48*(1+Parâmetros!G11)</f>
        <v>0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</row>
    <row r="49" spans="1:177" ht="15">
      <c r="A49" s="130" t="s">
        <v>557</v>
      </c>
      <c r="B49" s="131" t="s">
        <v>558</v>
      </c>
      <c r="C49" s="84">
        <v>157504.9</v>
      </c>
      <c r="D49" s="84">
        <v>0</v>
      </c>
      <c r="E49" s="84">
        <v>26157.13</v>
      </c>
      <c r="F49" s="84">
        <v>0</v>
      </c>
      <c r="G49" s="132">
        <f>(((D49*(1+Parâmetros!B11)*(1+Parâmetros!C11)*(1+Parâmetros!D11))+(E49*(1+Parâmetros!C11)*(1+Parâmetros!D11)+(F49*(1+Parâmetros!D11))))/3)*(1+Parâmetros!E11)</f>
        <v>9982.13590441475</v>
      </c>
      <c r="H49" s="132">
        <f>G49*(1+Parâmetros!F11)</f>
        <v>10406.376680352378</v>
      </c>
      <c r="I49" s="132">
        <f>H49*(1+Parâmetros!G11)</f>
        <v>10834.07876191486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</row>
    <row r="50" spans="1:177" s="7" customFormat="1" ht="25.5">
      <c r="A50" s="127" t="s">
        <v>311</v>
      </c>
      <c r="B50" s="128" t="s">
        <v>312</v>
      </c>
      <c r="C50" s="129">
        <f aca="true" t="shared" si="6" ref="C50:I50">SUM(C51:C59)</f>
        <v>4802442.09</v>
      </c>
      <c r="D50" s="129">
        <f t="shared" si="6"/>
        <v>4893975.4399999995</v>
      </c>
      <c r="E50" s="129">
        <f>SUM(E51:E59)</f>
        <v>5185101.3100000005</v>
      </c>
      <c r="F50" s="129">
        <f t="shared" si="6"/>
        <v>5540109.87</v>
      </c>
      <c r="G50" s="129">
        <f t="shared" si="6"/>
        <v>5596649.201019462</v>
      </c>
      <c r="H50" s="129">
        <f t="shared" si="6"/>
        <v>5926854.841460728</v>
      </c>
      <c r="I50" s="129">
        <f t="shared" si="6"/>
        <v>6255225.679932049</v>
      </c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</row>
    <row r="51" spans="1:177" ht="15">
      <c r="A51" s="130" t="s">
        <v>313</v>
      </c>
      <c r="B51" s="131" t="s">
        <v>314</v>
      </c>
      <c r="C51" s="84">
        <v>2683676.59</v>
      </c>
      <c r="D51" s="84">
        <v>3031048.17</v>
      </c>
      <c r="E51" s="84">
        <v>3096063.1</v>
      </c>
      <c r="F51" s="84">
        <v>3100000</v>
      </c>
      <c r="G51" s="132">
        <v>3192093.79</v>
      </c>
      <c r="H51" s="132">
        <f>G51*(1+Parâmetros!F11)*(1+Parâmetros!F17)</f>
        <v>3404434.585735547</v>
      </c>
      <c r="I51" s="132">
        <f>H51*(1+Parâmetros!G11)*(1+Parâmetros!G17)</f>
        <v>3614747.482926257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</row>
    <row r="52" spans="1:177" ht="15">
      <c r="A52" s="130" t="s">
        <v>317</v>
      </c>
      <c r="B52" s="131" t="s">
        <v>318</v>
      </c>
      <c r="C52" s="84">
        <v>456757.35</v>
      </c>
      <c r="D52" s="84">
        <v>419077.02</v>
      </c>
      <c r="E52" s="84">
        <v>706348.02</v>
      </c>
      <c r="F52" s="84">
        <v>530000</v>
      </c>
      <c r="G52" s="132">
        <v>580943.89</v>
      </c>
      <c r="H52" s="132">
        <f>G52*(1+Parâmetros!F11)*(1+Parâmetros!F17)</f>
        <v>619588.7720102821</v>
      </c>
      <c r="I52" s="132">
        <f>H52*(1+Parâmetros!G11)*(1+Parâmetros!G17)</f>
        <v>657864.5873995102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</row>
    <row r="53" spans="1:177" ht="15">
      <c r="A53" s="130" t="s">
        <v>319</v>
      </c>
      <c r="B53" s="131" t="s">
        <v>320</v>
      </c>
      <c r="C53" s="84">
        <v>51237.55</v>
      </c>
      <c r="D53" s="84">
        <v>59450.59</v>
      </c>
      <c r="E53" s="84">
        <v>64096.16</v>
      </c>
      <c r="F53" s="84">
        <v>60000</v>
      </c>
      <c r="G53" s="132">
        <f>(((D53*(1+Parâmetros!B11)*(1+Parâmetros!C11)*(1+Parâmetros!D11))+(E53*(1+Parâmetros!C11)*(1+Parâmetros!D11)+(F53*(1+Parâmetros!D11))))/3)*(1+Parâmetros!E11)*(1+Parâmetros!E17)</f>
        <v>71457.62838331041</v>
      </c>
      <c r="H53" s="132">
        <f>G53*(1+Parâmetros!F11)*(1+Parâmetros!F17)</f>
        <v>76211.05064171064</v>
      </c>
      <c r="I53" s="132">
        <f>H53*(1+Parâmetros!G11)*(1+Parâmetros!G17)</f>
        <v>80919.07673378581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</row>
    <row r="54" spans="1:177" ht="25.5">
      <c r="A54" s="130" t="s">
        <v>321</v>
      </c>
      <c r="B54" s="131" t="s">
        <v>322</v>
      </c>
      <c r="C54" s="84"/>
      <c r="D54" s="84"/>
      <c r="E54" s="84">
        <v>0</v>
      </c>
      <c r="F54" s="84"/>
      <c r="G54" s="132">
        <f>(((D54*(1+Parâmetros!B11)*(1+Parâmetros!C11)*(1+Parâmetros!D11))+(E54*(1+Parâmetros!C11)*(1+Parâmetros!D11)+(F54*(1+Parâmetros!D11))))/3)*(1+Parâmetros!E11)*(1+Parâmetros!E17)</f>
        <v>0</v>
      </c>
      <c r="H54" s="132">
        <f>G54*(1+Parâmetros!F11)*(1+Parâmetros!F17)</f>
        <v>0</v>
      </c>
      <c r="I54" s="132">
        <f>H54*(1+Parâmetros!G11)*(1+Parâmetros!G17)</f>
        <v>0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</row>
    <row r="55" spans="1:177" ht="15">
      <c r="A55" s="130" t="s">
        <v>323</v>
      </c>
      <c r="B55" s="131" t="s">
        <v>324</v>
      </c>
      <c r="C55" s="84"/>
      <c r="D55" s="84"/>
      <c r="E55" s="84"/>
      <c r="F55" s="84"/>
      <c r="G55" s="132">
        <f>(((D55*(1+Parâmetros!B11)*(1+Parâmetros!C11)*(1+Parâmetros!D11))+(E55*(1+Parâmetros!C11)*(1+Parâmetros!D11)+(F55*(1+Parâmetros!D11))))/3)*(1+Parâmetros!E11)</f>
        <v>0</v>
      </c>
      <c r="H55" s="132">
        <f>G55*(1+Parâmetros!F11)</f>
        <v>0</v>
      </c>
      <c r="I55" s="132">
        <f>H55*(1+Parâmetros!G11)</f>
        <v>0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</row>
    <row r="56" spans="1:177" ht="15">
      <c r="A56" s="130" t="s">
        <v>325</v>
      </c>
      <c r="B56" s="131" t="s">
        <v>326</v>
      </c>
      <c r="C56" s="84"/>
      <c r="D56" s="84"/>
      <c r="E56" s="84"/>
      <c r="F56" s="84"/>
      <c r="G56" s="132">
        <f>(((D56*(1+Parâmetros!B11)*(1+Parâmetros!C11)*(1+Parâmetros!D11))+(E56*(1+Parâmetros!C11)*(1+Parâmetros!D11)+(F56*(1+Parâmetros!D11))))/3)*(1+Parâmetros!E11)</f>
        <v>0</v>
      </c>
      <c r="H56" s="132">
        <f>G56*(1+Parâmetros!F11)</f>
        <v>0</v>
      </c>
      <c r="I56" s="132">
        <f>H56*(1+Parâmetros!G11)</f>
        <v>0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</row>
    <row r="57" spans="1:177" ht="25.5">
      <c r="A57" s="130" t="s">
        <v>327</v>
      </c>
      <c r="B57" s="131" t="s">
        <v>328</v>
      </c>
      <c r="C57" s="84">
        <v>1606368.16</v>
      </c>
      <c r="D57" s="84">
        <v>1377654.08</v>
      </c>
      <c r="E57" s="84">
        <v>1310911.75</v>
      </c>
      <c r="F57" s="84">
        <v>1810350</v>
      </c>
      <c r="G57" s="132">
        <f>(((D57*(1+Parâmetros!B11)*(1+Parâmetros!C11)*(1+Parâmetros!D11))+(E57*(1+Parâmetros!C11)*(1+Parâmetros!D11)+(F57*(1+Parâmetros!D11))))/3)*(1+Parâmetros!E11)</f>
        <v>1732097.9075696275</v>
      </c>
      <c r="H57" s="132">
        <f>G57*(1+Parâmetros!F11)</f>
        <v>1805712.0686413366</v>
      </c>
      <c r="I57" s="132">
        <f>H57*(1+Parâmetros!G11)</f>
        <v>1879926.8346624954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</row>
    <row r="58" spans="1:177" ht="25.5">
      <c r="A58" s="130" t="s">
        <v>329</v>
      </c>
      <c r="B58" s="131" t="s">
        <v>330</v>
      </c>
      <c r="C58" s="84"/>
      <c r="D58" s="84"/>
      <c r="E58" s="84">
        <v>0</v>
      </c>
      <c r="F58" s="84"/>
      <c r="G58" s="132">
        <f>(((D58*(1+Parâmetros!B11)*(1+Parâmetros!C11)*(1+Parâmetros!D11))+(E58*(1+Parâmetros!C11)*(1+Parâmetros!D11)+(F58*(1+Parâmetros!D11))))/3)*(1+Parâmetros!E11)</f>
        <v>0</v>
      </c>
      <c r="H58" s="132">
        <f>G58*(1+Parâmetros!F11)</f>
        <v>0</v>
      </c>
      <c r="I58" s="132">
        <f>H58*(1+Parâmetros!G11)</f>
        <v>0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</row>
    <row r="59" spans="1:177" ht="15">
      <c r="A59" s="130" t="s">
        <v>331</v>
      </c>
      <c r="B59" s="131" t="s">
        <v>326</v>
      </c>
      <c r="C59" s="84">
        <v>4402.44</v>
      </c>
      <c r="D59" s="84">
        <v>6745.58</v>
      </c>
      <c r="E59" s="84">
        <v>7682.28</v>
      </c>
      <c r="F59" s="84">
        <v>39759.87</v>
      </c>
      <c r="G59" s="132">
        <f>(((D59*(1+Parâmetros!B11)*(1+Parâmetros!C11)*(1+Parâmetros!D11))+(E59*(1+Parâmetros!C11)*(1+Parâmetros!D11)+(F59*(1+Parâmetros!D11))))/3)*(1+Parâmetros!E11)</f>
        <v>20055.985066523983</v>
      </c>
      <c r="H59" s="132">
        <f>G59*(1+Parâmetros!F11)</f>
        <v>20908.364431851252</v>
      </c>
      <c r="I59" s="132">
        <f>H59*(1+Parâmetros!G11)</f>
        <v>21767.698210000337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</row>
    <row r="60" spans="1:177" ht="15">
      <c r="A60" s="130" t="s">
        <v>332</v>
      </c>
      <c r="B60" s="131" t="s">
        <v>333</v>
      </c>
      <c r="C60" s="84"/>
      <c r="D60" s="84"/>
      <c r="E60" s="84"/>
      <c r="F60" s="84"/>
      <c r="G60" s="132">
        <f>(((D60*(1+Parâmetros!B11)*(1+Parâmetros!C11)*(1+Parâmetros!D11))+(E60*(1+Parâmetros!C11)*(1+Parâmetros!D11)+(F60*(1+Parâmetros!D11))))/3)*(1+Parâmetros!E11)</f>
        <v>0</v>
      </c>
      <c r="H60" s="132">
        <f>G60*(1+Parâmetros!F11)</f>
        <v>0</v>
      </c>
      <c r="I60" s="132">
        <f>H60*(1+Parâmetros!G11)</f>
        <v>0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</row>
    <row r="61" spans="1:177" ht="15">
      <c r="A61" s="130" t="s">
        <v>334</v>
      </c>
      <c r="B61" s="131" t="s">
        <v>335</v>
      </c>
      <c r="C61" s="84"/>
      <c r="D61" s="84"/>
      <c r="E61" s="84"/>
      <c r="F61" s="84"/>
      <c r="G61" s="132">
        <f>(((D61*(1+Parâmetros!B11)*(1+Parâmetros!C11)*(1+Parâmetros!D11))+(E61*(1+Parâmetros!C11)*(1+Parâmetros!D11)+(F61*(1+Parâmetros!D11))))/3)*(1+Parâmetros!E11)</f>
        <v>0</v>
      </c>
      <c r="H61" s="132">
        <f>G61*(1+Parâmetros!F11)</f>
        <v>0</v>
      </c>
      <c r="I61" s="132">
        <f>H61*(1+Parâmetros!G11)</f>
        <v>0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</row>
    <row r="62" spans="1:177" ht="15">
      <c r="A62" s="130" t="s">
        <v>435</v>
      </c>
      <c r="B62" s="131" t="s">
        <v>436</v>
      </c>
      <c r="C62" s="84">
        <v>8073309.31</v>
      </c>
      <c r="D62" s="84">
        <v>9046756.22</v>
      </c>
      <c r="E62" s="84">
        <v>9737222.97</v>
      </c>
      <c r="F62" s="84">
        <v>9700000</v>
      </c>
      <c r="G62" s="132">
        <v>9870528.61</v>
      </c>
      <c r="H62" s="132">
        <f>G62*(1+Parâmetros!F11)*(1+Parâmetros!F16)</f>
        <v>10427642.779502593</v>
      </c>
      <c r="I62" s="132">
        <f>H62*(1+Parâmetros!G11)*(1+Parâmetros!G16)</f>
        <v>10717582.30469164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</row>
    <row r="63" spans="1:177" ht="15">
      <c r="A63" s="130" t="s">
        <v>337</v>
      </c>
      <c r="B63" s="131" t="s">
        <v>559</v>
      </c>
      <c r="C63" s="84">
        <v>1134442.76</v>
      </c>
      <c r="D63" s="84">
        <v>398531.48</v>
      </c>
      <c r="E63" s="84">
        <v>1052085.84</v>
      </c>
      <c r="F63" s="84">
        <v>9284.32</v>
      </c>
      <c r="G63" s="132">
        <v>243305.91</v>
      </c>
      <c r="H63" s="132">
        <f>G63*(1+Parâmetros!F11)</f>
        <v>253646.411175</v>
      </c>
      <c r="I63" s="132">
        <f>H63*(1+Parâmetros!G11)</f>
        <v>264071.27867429244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</row>
    <row r="64" spans="1:177" ht="15">
      <c r="A64" s="130" t="s">
        <v>339</v>
      </c>
      <c r="B64" s="131" t="s">
        <v>340</v>
      </c>
      <c r="C64" s="84"/>
      <c r="D64" s="84"/>
      <c r="E64" s="84"/>
      <c r="F64" s="84"/>
      <c r="G64" s="132">
        <f>(((D64*(1+Parâmetros!B11)*(1+Parâmetros!C11)*(1+Parâmetros!D11))+(E64*(1+Parâmetros!C11)*(1+Parâmetros!D11)+(F64*(1+Parâmetros!D11))))/3)*(1+Parâmetros!E11)</f>
        <v>0</v>
      </c>
      <c r="H64" s="132">
        <f>G64*(1+Parâmetros!F11)</f>
        <v>0</v>
      </c>
      <c r="I64" s="132">
        <f>H64*(1+Parâmetros!G11)</f>
        <v>0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</row>
    <row r="65" spans="1:177" s="7" customFormat="1" ht="12.75">
      <c r="A65" s="127" t="s">
        <v>341</v>
      </c>
      <c r="B65" s="128" t="s">
        <v>342</v>
      </c>
      <c r="C65" s="129">
        <f>SUM(C66:C68)</f>
        <v>1537706.17</v>
      </c>
      <c r="D65" s="129">
        <f aca="true" t="shared" si="7" ref="D65:I65">SUM(D66:D68)</f>
        <v>2264126.12</v>
      </c>
      <c r="E65" s="129">
        <f t="shared" si="7"/>
        <v>2199503.84</v>
      </c>
      <c r="F65" s="129">
        <f>SUM(F66:F68)</f>
        <v>2561930.99</v>
      </c>
      <c r="G65" s="129">
        <f t="shared" si="7"/>
        <v>2536190.997430301</v>
      </c>
      <c r="H65" s="129">
        <f t="shared" si="7"/>
        <v>2645247.2175210887</v>
      </c>
      <c r="I65" s="129">
        <f t="shared" si="7"/>
        <v>2758199.2685872056</v>
      </c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</row>
    <row r="66" spans="1:177" ht="15">
      <c r="A66" s="130" t="s">
        <v>343</v>
      </c>
      <c r="B66" s="131" t="s">
        <v>344</v>
      </c>
      <c r="C66" s="84">
        <v>73026.06</v>
      </c>
      <c r="D66" s="84">
        <v>74648.65</v>
      </c>
      <c r="E66" s="84">
        <v>33372.64</v>
      </c>
      <c r="F66" s="84">
        <v>154203.28</v>
      </c>
      <c r="G66" s="132">
        <f>(((D66*(1+Parâmetros!B11)*(1+Parâmetros!C11)*(1+Parâmetros!D11))+(E66*(1+Parâmetros!C11)*(1+Parâmetros!D11)+(F66*(1+Parâmetros!D11))))/3)*(1+Parâmetros!E11)</f>
        <v>99627.83175092847</v>
      </c>
      <c r="H66" s="132">
        <f>G66*(1+Parâmetros!F11)</f>
        <v>103862.01460034293</v>
      </c>
      <c r="I66" s="132">
        <f>H66*(1+Parâmetros!G11)</f>
        <v>108130.743400417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</row>
    <row r="67" spans="1:177" ht="15">
      <c r="A67" s="130" t="s">
        <v>345</v>
      </c>
      <c r="B67" s="131" t="s">
        <v>346</v>
      </c>
      <c r="C67" s="84">
        <v>32052.95</v>
      </c>
      <c r="D67" s="84">
        <v>99578.54</v>
      </c>
      <c r="E67" s="84">
        <v>3400.63</v>
      </c>
      <c r="F67" s="84">
        <v>7727.71</v>
      </c>
      <c r="G67" s="132">
        <f>(((D67*(1+Parâmetros!B11)*(1+Parâmetros!C11)*(1+Parâmetros!D11))+(E67*(1+Parâmetros!C11)*(1+Parâmetros!D11)+(F67*(1+Parâmetros!D11))))/3)*(1+Parâmetros!E11)</f>
        <v>46128.40567937238</v>
      </c>
      <c r="H67" s="132">
        <f>G67*(1+Parâmetros!F11)</f>
        <v>48088.862920745705</v>
      </c>
      <c r="I67" s="132">
        <f>H67*(1+Parâmetros!G11)</f>
        <v>50065.31518678835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</row>
    <row r="68" spans="1:177" s="7" customFormat="1" ht="12.75">
      <c r="A68" s="127" t="s">
        <v>347</v>
      </c>
      <c r="B68" s="128" t="s">
        <v>348</v>
      </c>
      <c r="C68" s="129">
        <f aca="true" t="shared" si="8" ref="C68:I68">SUM(C69:C72)</f>
        <v>1432627.16</v>
      </c>
      <c r="D68" s="129">
        <f t="shared" si="8"/>
        <v>2089898.93</v>
      </c>
      <c r="E68" s="129">
        <f t="shared" si="8"/>
        <v>2162730.57</v>
      </c>
      <c r="F68" s="129">
        <f t="shared" si="8"/>
        <v>2400000</v>
      </c>
      <c r="G68" s="129">
        <f t="shared" si="8"/>
        <v>2390434.76</v>
      </c>
      <c r="H68" s="129">
        <f t="shared" si="8"/>
        <v>2493296.34</v>
      </c>
      <c r="I68" s="129">
        <f t="shared" si="8"/>
        <v>2600003.21</v>
      </c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</row>
    <row r="69" spans="1:177" ht="25.5">
      <c r="A69" s="130" t="s">
        <v>349</v>
      </c>
      <c r="B69" s="131" t="s">
        <v>350</v>
      </c>
      <c r="C69" s="84"/>
      <c r="D69" s="84"/>
      <c r="E69" s="84"/>
      <c r="F69" s="84"/>
      <c r="G69" s="132">
        <f>(((D69*(1+Parâmetros!B11)*(1+Parâmetros!C11)*(1+Parâmetros!D11))+(E69*(1+Parâmetros!C11)*(1+Parâmetros!D11)+(F69*(1+Parâmetros!D11))))/3)*(1+Parâmetros!E11)</f>
        <v>0</v>
      </c>
      <c r="H69" s="132">
        <f>G69*(1+Parâmetros!F11)</f>
        <v>0</v>
      </c>
      <c r="I69" s="132">
        <f>H69*(1+Parâmetros!G11)</f>
        <v>0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</row>
    <row r="70" spans="1:177" ht="15">
      <c r="A70" s="130" t="s">
        <v>351</v>
      </c>
      <c r="B70" s="131" t="s">
        <v>352</v>
      </c>
      <c r="C70" s="84"/>
      <c r="D70" s="84"/>
      <c r="E70" s="84"/>
      <c r="F70" s="84"/>
      <c r="G70" s="132">
        <f>(((D70*(1+Parâmetros!B11)*(1+Parâmetros!C11)*(1+Parâmetros!D11))+(E70*(1+Parâmetros!C11)*(1+Parâmetros!D11)+(F70*(1+Parâmetros!D11))))/3)*(1+Parâmetros!E11)</f>
        <v>0</v>
      </c>
      <c r="H70" s="132">
        <f>G70*(1+Parâmetros!F11)</f>
        <v>0</v>
      </c>
      <c r="I70" s="132">
        <f>H70*(1+Parâmetros!G11)</f>
        <v>0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</row>
    <row r="71" spans="1:177" ht="25.5">
      <c r="A71" s="130" t="s">
        <v>353</v>
      </c>
      <c r="B71" s="131" t="s">
        <v>354</v>
      </c>
      <c r="C71" s="84"/>
      <c r="D71" s="84"/>
      <c r="E71" s="84"/>
      <c r="F71" s="84"/>
      <c r="G71" s="132">
        <f>(((D71*(1+Parâmetros!B11)*(1+Parâmetros!C11)*(1+Parâmetros!D11))+(E71*(1+Parâmetros!C11)*(1+Parâmetros!D11)+(F71*(1+Parâmetros!D11))))/3)*(1+Parâmetros!E11)</f>
        <v>0</v>
      </c>
      <c r="H71" s="132">
        <f>G71*(1+Parâmetros!F11)</f>
        <v>0</v>
      </c>
      <c r="I71" s="132">
        <f>H71*(1+Parâmetros!G11)</f>
        <v>0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</row>
    <row r="72" spans="1:177" ht="15">
      <c r="A72" s="130" t="s">
        <v>355</v>
      </c>
      <c r="B72" s="131" t="s">
        <v>356</v>
      </c>
      <c r="C72" s="84">
        <v>1432627.16</v>
      </c>
      <c r="D72" s="84">
        <v>2089898.93</v>
      </c>
      <c r="E72" s="84">
        <v>2162730.57</v>
      </c>
      <c r="F72" s="84">
        <v>2400000</v>
      </c>
      <c r="G72" s="132">
        <v>2390434.76</v>
      </c>
      <c r="H72" s="132">
        <v>2493296.34</v>
      </c>
      <c r="I72" s="132">
        <v>2600003.21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</row>
    <row r="73" spans="1:177" s="10" customFormat="1" ht="18">
      <c r="A73" s="127" t="s">
        <v>357</v>
      </c>
      <c r="B73" s="128" t="s">
        <v>358</v>
      </c>
      <c r="C73" s="129">
        <f>C74+C75+C78+C79+C87</f>
        <v>465203.45</v>
      </c>
      <c r="D73" s="129">
        <f aca="true" t="shared" si="9" ref="D73:I73">D74+D75+D78+D79+D87</f>
        <v>584567.85</v>
      </c>
      <c r="E73" s="129">
        <f t="shared" si="9"/>
        <v>333778.07</v>
      </c>
      <c r="F73" s="129">
        <f t="shared" si="9"/>
        <v>140000</v>
      </c>
      <c r="G73" s="129">
        <f>G74+G75+G78+G79+G87</f>
        <v>146118</v>
      </c>
      <c r="H73" s="129">
        <f t="shared" si="9"/>
        <v>152401.07</v>
      </c>
      <c r="I73" s="129">
        <f t="shared" si="9"/>
        <v>158908.6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</row>
    <row r="74" spans="1:9" s="80" customFormat="1" ht="15">
      <c r="A74" s="130" t="s">
        <v>359</v>
      </c>
      <c r="B74" s="131" t="s">
        <v>360</v>
      </c>
      <c r="C74" s="84">
        <v>413003.45</v>
      </c>
      <c r="D74" s="84">
        <v>544567.85</v>
      </c>
      <c r="E74" s="84">
        <v>254528.07</v>
      </c>
      <c r="F74" s="84">
        <v>100000</v>
      </c>
      <c r="G74" s="132">
        <v>104370</v>
      </c>
      <c r="H74" s="132">
        <v>108857.91</v>
      </c>
      <c r="I74" s="132">
        <v>113506.14</v>
      </c>
    </row>
    <row r="75" spans="1:177" s="7" customFormat="1" ht="12.75">
      <c r="A75" s="127" t="s">
        <v>361</v>
      </c>
      <c r="B75" s="128" t="s">
        <v>362</v>
      </c>
      <c r="C75" s="129">
        <f aca="true" t="shared" si="10" ref="C75:I75">C76+C77</f>
        <v>52200</v>
      </c>
      <c r="D75" s="129">
        <f t="shared" si="10"/>
        <v>40000</v>
      </c>
      <c r="E75" s="129">
        <f t="shared" si="10"/>
        <v>79250</v>
      </c>
      <c r="F75" s="129">
        <f t="shared" si="10"/>
        <v>40000</v>
      </c>
      <c r="G75" s="129">
        <f>G76+G77</f>
        <v>41748</v>
      </c>
      <c r="H75" s="129">
        <f t="shared" si="10"/>
        <v>43543.16</v>
      </c>
      <c r="I75" s="129">
        <f t="shared" si="10"/>
        <v>45402.46</v>
      </c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</row>
    <row r="76" spans="1:9" s="80" customFormat="1" ht="15">
      <c r="A76" s="130" t="s">
        <v>363</v>
      </c>
      <c r="B76" s="131" t="s">
        <v>364</v>
      </c>
      <c r="C76" s="84">
        <v>52200</v>
      </c>
      <c r="D76" s="84">
        <v>40000</v>
      </c>
      <c r="E76" s="84">
        <v>79250</v>
      </c>
      <c r="F76" s="84">
        <v>40000</v>
      </c>
      <c r="G76" s="132">
        <v>41748</v>
      </c>
      <c r="H76" s="132">
        <v>43543.16</v>
      </c>
      <c r="I76" s="132">
        <v>45402.46</v>
      </c>
    </row>
    <row r="77" spans="1:9" s="80" customFormat="1" ht="15">
      <c r="A77" s="130" t="s">
        <v>365</v>
      </c>
      <c r="B77" s="131" t="s">
        <v>366</v>
      </c>
      <c r="C77" s="84"/>
      <c r="D77" s="84"/>
      <c r="E77" s="84"/>
      <c r="F77" s="84"/>
      <c r="G77" s="132">
        <f>(((D77*(1+Parâmetros!B11)*(1+Parâmetros!C11)*(1+Parâmetros!D11))+(E77*(1+Parâmetros!C11)*(1+Parâmetros!D11)+(F77*(1+Parâmetros!D11))))/3)*(1+Parâmetros!E11)</f>
        <v>0</v>
      </c>
      <c r="H77" s="132">
        <f>G77*(1+Parâmetros!F11)</f>
        <v>0</v>
      </c>
      <c r="I77" s="132">
        <f>H77*(1+Parâmetros!G11)</f>
        <v>0</v>
      </c>
    </row>
    <row r="78" spans="1:9" s="80" customFormat="1" ht="15">
      <c r="A78" s="130" t="s">
        <v>367</v>
      </c>
      <c r="B78" s="131" t="s">
        <v>368</v>
      </c>
      <c r="C78" s="84"/>
      <c r="D78" s="84"/>
      <c r="E78" s="84"/>
      <c r="F78" s="84"/>
      <c r="G78" s="132">
        <f>(((D78*(1+Parâmetros!B11)*(1+Parâmetros!C11)*(1+Parâmetros!D11))+(E78*(1+Parâmetros!C11)*(1+Parâmetros!D11)+(F78*(1+Parâmetros!D11))))/3)*(1+Parâmetros!E11)</f>
        <v>0</v>
      </c>
      <c r="H78" s="132">
        <f>G78*(1+Parâmetros!F11)</f>
        <v>0</v>
      </c>
      <c r="I78" s="132">
        <f>H78*(1+Parâmetros!G11)</f>
        <v>0</v>
      </c>
    </row>
    <row r="79" spans="1:177" s="7" customFormat="1" ht="12.75">
      <c r="A79" s="127" t="s">
        <v>369</v>
      </c>
      <c r="B79" s="128" t="s">
        <v>370</v>
      </c>
      <c r="C79" s="129">
        <f aca="true" t="shared" si="11" ref="C79:I79">SUM(C80:C86)</f>
        <v>0</v>
      </c>
      <c r="D79" s="129">
        <f t="shared" si="11"/>
        <v>0</v>
      </c>
      <c r="E79" s="129">
        <f t="shared" si="11"/>
        <v>0</v>
      </c>
      <c r="F79" s="129">
        <f t="shared" si="11"/>
        <v>0</v>
      </c>
      <c r="G79" s="129">
        <f t="shared" si="11"/>
        <v>0</v>
      </c>
      <c r="H79" s="129">
        <f t="shared" si="11"/>
        <v>0</v>
      </c>
      <c r="I79" s="129">
        <f t="shared" si="11"/>
        <v>0</v>
      </c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</row>
    <row r="80" spans="1:177" ht="15">
      <c r="A80" s="130" t="s">
        <v>371</v>
      </c>
      <c r="B80" s="131" t="s">
        <v>290</v>
      </c>
      <c r="C80" s="84"/>
      <c r="D80" s="84"/>
      <c r="E80" s="84"/>
      <c r="F80" s="84"/>
      <c r="G80" s="132">
        <f>(((D80*(1+Parâmetros!B11)*(1+Parâmetros!C11)*(1+Parâmetros!D11))+(E80*(1+Parâmetros!C11)*(1+Parâmetros!D11)+(F80*(1+Parâmetros!D11))))/3)*(1+Parâmetros!E11)*(1+Parâmetros!E12)</f>
        <v>0</v>
      </c>
      <c r="H80" s="132">
        <f>G80*(1+Parâmetros!F11)*(1+Parâmetros!F12)</f>
        <v>0</v>
      </c>
      <c r="I80" s="132">
        <f>H80*(1+Parâmetros!G11)*(1+Parâmetros!G12)</f>
        <v>0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</row>
    <row r="81" spans="1:177" ht="25.5">
      <c r="A81" s="130" t="s">
        <v>372</v>
      </c>
      <c r="B81" s="131" t="s">
        <v>312</v>
      </c>
      <c r="C81" s="84"/>
      <c r="D81" s="84"/>
      <c r="E81" s="84"/>
      <c r="F81" s="84"/>
      <c r="G81" s="132">
        <f>(((D81*(1+Parâmetros!B11)*(1+Parâmetros!C11)*(1+Parâmetros!D11))+(E81*(1+Parâmetros!C11)*(1+Parâmetros!D11)+(F81*(1+Parâmetros!D11))))/3)*(1+Parâmetros!E11)*(1+Parâmetros!E12)</f>
        <v>0</v>
      </c>
      <c r="H81" s="132">
        <f>G81*(1+Parâmetros!F11)*(1+Parâmetros!F12)</f>
        <v>0</v>
      </c>
      <c r="I81" s="132">
        <f>H81*(1+Parâmetros!G11)*(1+Parâmetros!G12)</f>
        <v>0</v>
      </c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</row>
    <row r="82" spans="1:177" ht="15">
      <c r="A82" s="130" t="s">
        <v>373</v>
      </c>
      <c r="B82" s="131" t="s">
        <v>333</v>
      </c>
      <c r="C82" s="84"/>
      <c r="D82" s="84"/>
      <c r="E82" s="84"/>
      <c r="F82" s="84"/>
      <c r="G82" s="132">
        <f>(((D82*(1+Parâmetros!B11)*(1+Parâmetros!C11)*(1+Parâmetros!D11))+(E82*(1+Parâmetros!C11)*(1+Parâmetros!D11)+(F82*(1+Parâmetros!D11))))/3)*(1+Parâmetros!E11)*(1+Parâmetros!E12)</f>
        <v>0</v>
      </c>
      <c r="H82" s="132">
        <f>G82*(1+Parâmetros!F11)*(1+Parâmetros!F12)</f>
        <v>0</v>
      </c>
      <c r="I82" s="132">
        <f>H82*(1+Parâmetros!G11)*(1+Parâmetros!G12)</f>
        <v>0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</row>
    <row r="83" spans="1:177" ht="15">
      <c r="A83" s="130" t="s">
        <v>374</v>
      </c>
      <c r="B83" s="131" t="s">
        <v>335</v>
      </c>
      <c r="C83" s="84"/>
      <c r="D83" s="84"/>
      <c r="E83" s="84"/>
      <c r="F83" s="84"/>
      <c r="G83" s="132">
        <f>(((D83*(1+Parâmetros!B11)*(1+Parâmetros!C11)*(1+Parâmetros!D11))+(E83*(1+Parâmetros!C11)*(1+Parâmetros!D11)+(F83*(1+Parâmetros!D11))))/3)*(1+Parâmetros!E11)*(1+Parâmetros!E12)</f>
        <v>0</v>
      </c>
      <c r="H83" s="132">
        <f>G83*(1+Parâmetros!F11)*(1+Parâmetros!F12)</f>
        <v>0</v>
      </c>
      <c r="I83" s="132">
        <f>H83*(1+Parâmetros!G11)*(1+Parâmetros!G12)</f>
        <v>0</v>
      </c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</row>
    <row r="84" spans="1:177" ht="15">
      <c r="A84" s="130" t="s">
        <v>375</v>
      </c>
      <c r="B84" s="131" t="s">
        <v>336</v>
      </c>
      <c r="C84" s="84"/>
      <c r="D84" s="84"/>
      <c r="E84" s="84"/>
      <c r="F84" s="84"/>
      <c r="G84" s="132">
        <f>(((D84*(1+Parâmetros!B11)*(1+Parâmetros!C11)*(1+Parâmetros!D11))+(E84*(1+Parâmetros!C11)*(1+Parâmetros!D11)+(F84*(1+Parâmetros!D11))))/3)*(1+Parâmetros!E11)*(1+Parâmetros!E12)</f>
        <v>0</v>
      </c>
      <c r="H84" s="132">
        <f>G84:G85*(1+Parâmetros!F11)*(1+Parâmetros!F12)</f>
        <v>0</v>
      </c>
      <c r="I84" s="132">
        <f>H84:H85*(1+Parâmetros!G11)*(1+Parâmetros!G12)</f>
        <v>0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</row>
    <row r="85" spans="1:177" ht="15">
      <c r="A85" s="130" t="s">
        <v>376</v>
      </c>
      <c r="B85" s="131" t="s">
        <v>338</v>
      </c>
      <c r="C85" s="84"/>
      <c r="D85" s="84"/>
      <c r="E85" s="84"/>
      <c r="F85" s="84"/>
      <c r="G85" s="132">
        <f>(((D85*(1+Parâmetros!B11)*(1+Parâmetros!C11)*(1+Parâmetros!D11))+(E85*(1+Parâmetros!C11)*(1+Parâmetros!D11)+(F85*(1+Parâmetros!D11))))/3)*(1+Parâmetros!E11)*(1+Parâmetros!E12)</f>
        <v>0</v>
      </c>
      <c r="H85" s="132">
        <f>G85*(1+Parâmetros!F11)*(1+Parâmetros!F12)</f>
        <v>0</v>
      </c>
      <c r="I85" s="132">
        <f>H85*(1+Parâmetros!G11)*(1+Parâmetros!G12)</f>
        <v>0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</row>
    <row r="86" spans="1:177" ht="15">
      <c r="A86" s="130" t="s">
        <v>377</v>
      </c>
      <c r="B86" s="131" t="s">
        <v>340</v>
      </c>
      <c r="C86" s="84"/>
      <c r="D86" s="84"/>
      <c r="E86" s="84"/>
      <c r="F86" s="84"/>
      <c r="G86" s="132">
        <f>(((D86*(1+Parâmetros!B11)*(1+Parâmetros!C11)*(1+Parâmetros!D11))+(E86*(1+Parâmetros!C11)*(1+Parâmetros!D11)+(F86*(1+Parâmetros!D11))))/3)*(1+Parâmetros!E11)*(1+Parâmetros!E12)</f>
        <v>0</v>
      </c>
      <c r="H86" s="132">
        <f>G86*(1+Parâmetros!F11)*(1+Parâmetros!F12)</f>
        <v>0</v>
      </c>
      <c r="I86" s="132">
        <f>H86*(1+Parâmetros!G11)*(1+Parâmetros!G12)</f>
        <v>0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</row>
    <row r="87" spans="1:177" s="7" customFormat="1" ht="12.75">
      <c r="A87" s="127" t="s">
        <v>378</v>
      </c>
      <c r="B87" s="128" t="s">
        <v>379</v>
      </c>
      <c r="C87" s="129">
        <f>C88+C89</f>
        <v>0</v>
      </c>
      <c r="D87" s="129">
        <f aca="true" t="shared" si="12" ref="D87:I87">D88+D89</f>
        <v>0</v>
      </c>
      <c r="E87" s="129">
        <f t="shared" si="12"/>
        <v>0</v>
      </c>
      <c r="F87" s="129">
        <f t="shared" si="12"/>
        <v>0</v>
      </c>
      <c r="G87" s="129">
        <f>G88+G89</f>
        <v>0</v>
      </c>
      <c r="H87" s="129">
        <f t="shared" si="12"/>
        <v>0</v>
      </c>
      <c r="I87" s="129">
        <f t="shared" si="12"/>
        <v>0</v>
      </c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</row>
    <row r="88" spans="1:177" ht="25.5">
      <c r="A88" s="130" t="s">
        <v>380</v>
      </c>
      <c r="B88" s="133" t="s">
        <v>381</v>
      </c>
      <c r="C88" s="84"/>
      <c r="D88" s="84"/>
      <c r="E88" s="84"/>
      <c r="F88" s="84"/>
      <c r="G88" s="132">
        <f>(((D88*(1+Parâmetros!B11)*(1+Parâmetros!C11)*(1+Parâmetros!D11))+(E88*(1+Parâmetros!C11)*(1+Parâmetros!D11)+(F88*(1+Parâmetros!D11))))/3)*(1+Parâmetros!E11)</f>
        <v>0</v>
      </c>
      <c r="H88" s="132">
        <f>G88*(1+Parâmetros!F11)</f>
        <v>0</v>
      </c>
      <c r="I88" s="132">
        <f>H88*(1+Parâmetros!G11)</f>
        <v>0</v>
      </c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</row>
    <row r="89" spans="1:177" ht="15">
      <c r="A89" s="130" t="s">
        <v>382</v>
      </c>
      <c r="B89" s="133" t="s">
        <v>383</v>
      </c>
      <c r="C89" s="84"/>
      <c r="D89" s="84"/>
      <c r="E89" s="84"/>
      <c r="F89" s="84"/>
      <c r="G89" s="132">
        <f>(((D89*(1+Parâmetros!B11)*(1+Parâmetros!C11)*(1+Parâmetros!D11))+(E89*(1+Parâmetros!C11)*(1+Parâmetros!D11)+(F89*(1+Parâmetros!D11))))/3)*(1+Parâmetros!E11)</f>
        <v>0</v>
      </c>
      <c r="H89" s="132">
        <f>G89*(1+Parâmetros!F11)</f>
        <v>0</v>
      </c>
      <c r="I89" s="132">
        <f>H89*(1+Parâmetros!G11)</f>
        <v>0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</row>
    <row r="90" spans="1:9" s="83" customFormat="1" ht="18">
      <c r="A90" s="134" t="s">
        <v>384</v>
      </c>
      <c r="B90" s="131" t="s">
        <v>417</v>
      </c>
      <c r="C90" s="84">
        <v>1444362.51</v>
      </c>
      <c r="D90" s="84">
        <v>1598829.99</v>
      </c>
      <c r="E90" s="84">
        <v>1508120.95</v>
      </c>
      <c r="F90" s="84">
        <v>1800000</v>
      </c>
      <c r="G90" s="132">
        <v>1878660</v>
      </c>
      <c r="H90" s="132">
        <v>1959442.38</v>
      </c>
      <c r="I90" s="132">
        <v>2043110.56</v>
      </c>
    </row>
    <row r="91" spans="1:9" s="83" customFormat="1" ht="18">
      <c r="A91" s="130" t="s">
        <v>385</v>
      </c>
      <c r="B91" s="131" t="s">
        <v>386</v>
      </c>
      <c r="C91" s="84"/>
      <c r="D91" s="84"/>
      <c r="E91" s="84"/>
      <c r="F91" s="84"/>
      <c r="G91" s="132">
        <f>(((D91*(1+Parâmetros!B11)*(1+Parâmetros!C11)*(1+Parâmetros!D11))+(E91*(1+Parâmetros!C11)*(1+Parâmetros!D11)+(F91*(1+Parâmetros!D11))))/3)*(1+Parâmetros!E11)</f>
        <v>0</v>
      </c>
      <c r="H91" s="132"/>
      <c r="I91" s="132"/>
    </row>
    <row r="92" spans="1:177" s="10" customFormat="1" ht="18">
      <c r="A92" s="127" t="s">
        <v>388</v>
      </c>
      <c r="B92" s="128" t="s">
        <v>387</v>
      </c>
      <c r="C92" s="129">
        <f>C93+C94+C95+C96</f>
        <v>-2706688.22</v>
      </c>
      <c r="D92" s="129">
        <f aca="true" t="shared" si="13" ref="D92:I92">D93+D94+D95+D96</f>
        <v>-2904521.084</v>
      </c>
      <c r="E92" s="129">
        <f t="shared" si="13"/>
        <v>-3203232.8959999993</v>
      </c>
      <c r="F92" s="129">
        <f t="shared" si="13"/>
        <v>-3120786.17</v>
      </c>
      <c r="G92" s="129">
        <f>G93+G94+G95+G96</f>
        <v>-2747644.6205107407</v>
      </c>
      <c r="H92" s="129">
        <f t="shared" si="13"/>
        <v>-2865793.3432324473</v>
      </c>
      <c r="I92" s="129">
        <f t="shared" si="13"/>
        <v>-2988162.712389301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</row>
    <row r="93" spans="1:177" ht="15">
      <c r="A93" s="130" t="s">
        <v>389</v>
      </c>
      <c r="B93" s="131" t="s">
        <v>390</v>
      </c>
      <c r="C93" s="84">
        <v>-344842.87</v>
      </c>
      <c r="D93" s="84">
        <v>-379829.65</v>
      </c>
      <c r="E93" s="84">
        <v>-367598.8</v>
      </c>
      <c r="F93" s="84">
        <v>-365308.36</v>
      </c>
      <c r="G93" s="132">
        <f>(((D93*(1+Parâmetros!B11)*(1+Parâmetros!C11)*(1+Parâmetros!D11))+(E93*(1+Parâmetros!C11)*(1+Parâmetros!D11)+(F93*(1+Parâmetros!D11))))/3)*(1+Parâmetros!E11)</f>
        <v>-431861.1916416457</v>
      </c>
      <c r="H93" s="132">
        <f>G93*(1+Parâmetros!F11)</f>
        <v>-450215.29228641564</v>
      </c>
      <c r="I93" s="132">
        <f>H93*(1+Parâmetros!G11)</f>
        <v>-468719.1407993873</v>
      </c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</row>
    <row r="94" spans="1:177" ht="12.75">
      <c r="A94" s="127" t="s">
        <v>391</v>
      </c>
      <c r="B94" s="128" t="s">
        <v>392</v>
      </c>
      <c r="C94" s="136">
        <f>-((C39+C42+C47+C51+C52+C53)*0.2)</f>
        <v>-2327929.3200000003</v>
      </c>
      <c r="D94" s="136">
        <f>-((D39+D42+D47+D51+D52+D53)*0.2)</f>
        <v>-2422333.064</v>
      </c>
      <c r="E94" s="136">
        <f>-((E39+E42+E47+E51+E52+E53)*0.2)</f>
        <v>-2719935.3159999996</v>
      </c>
      <c r="F94" s="136">
        <f>-((F39+F42+F47+F51+F52+F53)*0.2)</f>
        <v>-2646250.77</v>
      </c>
      <c r="G94" s="136">
        <v>-2189183.38</v>
      </c>
      <c r="H94" s="136">
        <v>-2283597.5</v>
      </c>
      <c r="I94" s="136">
        <v>-2382038.62</v>
      </c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</row>
    <row r="95" spans="1:177" ht="15">
      <c r="A95" s="130" t="s">
        <v>393</v>
      </c>
      <c r="B95" s="131" t="s">
        <v>394</v>
      </c>
      <c r="C95" s="84">
        <v>-33916.03</v>
      </c>
      <c r="D95" s="84">
        <v>-102358.37</v>
      </c>
      <c r="E95" s="84">
        <v>-115698.78</v>
      </c>
      <c r="F95" s="84">
        <v>-109227.04</v>
      </c>
      <c r="G95" s="132">
        <f>(((D95*(1+Parâmetros!B11)*(1+Parâmetros!C11)*(1+Parâmetros!D11))+(E95*(1+Parâmetros!C11)*(1+Parâmetros!D11)+(F95*(1+Parâmetros!D11))))/3)*(1+Parâmetros!E11)</f>
        <v>-126600.0488690951</v>
      </c>
      <c r="H95" s="132">
        <f>G95*(1+Parâmetros!F11)</f>
        <v>-131980.55094603164</v>
      </c>
      <c r="I95" s="132">
        <f>H95*(1+Parâmetros!G11)</f>
        <v>-137404.95158991351</v>
      </c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</row>
    <row r="96" spans="1:177" ht="15">
      <c r="A96" s="130" t="s">
        <v>395</v>
      </c>
      <c r="B96" s="131" t="s">
        <v>396</v>
      </c>
      <c r="C96" s="84"/>
      <c r="D96" s="84"/>
      <c r="E96" s="84"/>
      <c r="F96" s="84"/>
      <c r="G96" s="132">
        <f>(((D96*(1+Parâmetros!B11)*(1+Parâmetros!C11)*(1+Parâmetros!D11))+(E96*(1+Parâmetros!C11)*(1+Parâmetros!D11)+(F96*(1+Parâmetros!D11))))/3)*(1+Parâmetros!E11)</f>
        <v>0</v>
      </c>
      <c r="H96" s="132">
        <f>G96*(1+Parâmetros!F11)</f>
        <v>0</v>
      </c>
      <c r="I96" s="132">
        <f>H96*(1+Parâmetros!G11)</f>
        <v>0</v>
      </c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</row>
    <row r="97" spans="1:177" ht="12.75">
      <c r="A97" s="137"/>
      <c r="B97" s="138"/>
      <c r="C97" s="135"/>
      <c r="D97" s="135"/>
      <c r="E97" s="135"/>
      <c r="F97" s="135"/>
      <c r="G97" s="132"/>
      <c r="H97" s="132"/>
      <c r="I97" s="132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</row>
    <row r="98" spans="1:177" s="9" customFormat="1" ht="25.5" customHeight="1">
      <c r="A98" s="139"/>
      <c r="B98" s="140" t="s">
        <v>43</v>
      </c>
      <c r="C98" s="136">
        <f>C8+C73+C90+C91+C92</f>
        <v>37168046.49</v>
      </c>
      <c r="D98" s="136">
        <f aca="true" t="shared" si="14" ref="D98:I98">D8+D73+D90+D91+D92</f>
        <v>39531713.996</v>
      </c>
      <c r="E98" s="136">
        <f t="shared" si="14"/>
        <v>43232018.474000014</v>
      </c>
      <c r="F98" s="136">
        <f>F8+F73+F90+F91+F92</f>
        <v>43229311.29</v>
      </c>
      <c r="G98" s="136">
        <f>G8+G73+G90+G91+G92</f>
        <v>44849000.00235084</v>
      </c>
      <c r="H98" s="136">
        <f t="shared" si="14"/>
        <v>46749278.06246067</v>
      </c>
      <c r="I98" s="136">
        <f t="shared" si="14"/>
        <v>48678241.97847867</v>
      </c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</row>
    <row r="99" spans="1:177" ht="12.75">
      <c r="A99" s="56"/>
      <c r="B99" s="56"/>
      <c r="C99" s="57"/>
      <c r="D99" s="57"/>
      <c r="E99" s="57"/>
      <c r="F99" s="57"/>
      <c r="G99" s="100"/>
      <c r="H99" s="100"/>
      <c r="I99" s="10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</row>
    <row r="100" spans="1:177" ht="15.75">
      <c r="A100" s="342" t="str">
        <f>Parâmetros!A7</f>
        <v>Município de Balneário Pinhal</v>
      </c>
      <c r="B100" s="340"/>
      <c r="C100" s="340"/>
      <c r="D100" s="340"/>
      <c r="E100" s="340"/>
      <c r="F100" s="340"/>
      <c r="G100" s="340"/>
      <c r="H100" s="340"/>
      <c r="I100" s="34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</row>
    <row r="101" spans="1:177" ht="15.75">
      <c r="A101" s="341" t="str">
        <f>Parâmetros!A8</f>
        <v>LEI DE DIRETRIZES ORÇAMENTÁRIAS  PARA 2018</v>
      </c>
      <c r="B101" s="340"/>
      <c r="C101" s="340"/>
      <c r="D101" s="340"/>
      <c r="E101" s="340"/>
      <c r="F101" s="340"/>
      <c r="G101" s="340"/>
      <c r="H101" s="340"/>
      <c r="I101" s="34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</row>
    <row r="102" spans="1:177" ht="15.75">
      <c r="A102" s="339" t="s">
        <v>537</v>
      </c>
      <c r="B102" s="340"/>
      <c r="C102" s="340"/>
      <c r="D102" s="340"/>
      <c r="E102" s="340"/>
      <c r="F102" s="340"/>
      <c r="G102" s="340"/>
      <c r="H102" s="340"/>
      <c r="I102" s="34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</row>
    <row r="103" spans="1:177" ht="15">
      <c r="A103" s="56"/>
      <c r="B103" s="56"/>
      <c r="C103" s="57"/>
      <c r="D103" s="57"/>
      <c r="E103" s="57"/>
      <c r="F103" s="57"/>
      <c r="G103" s="100"/>
      <c r="H103" s="100"/>
      <c r="I103" s="20" t="s">
        <v>58</v>
      </c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</row>
    <row r="104" spans="1:177" s="1" customFormat="1" ht="15.75">
      <c r="A104" s="144"/>
      <c r="B104" s="145" t="s">
        <v>0</v>
      </c>
      <c r="C104" s="146" t="s">
        <v>235</v>
      </c>
      <c r="D104" s="146" t="s">
        <v>235</v>
      </c>
      <c r="E104" s="146" t="s">
        <v>235</v>
      </c>
      <c r="F104" s="147" t="s">
        <v>134</v>
      </c>
      <c r="G104" s="147" t="s">
        <v>12</v>
      </c>
      <c r="H104" s="148" t="s">
        <v>12</v>
      </c>
      <c r="I104" s="149" t="s">
        <v>12</v>
      </c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</row>
    <row r="105" spans="1:177" s="1" customFormat="1" ht="27.75" customHeight="1">
      <c r="A105" s="150"/>
      <c r="B105" s="151" t="s">
        <v>8</v>
      </c>
      <c r="C105" s="152">
        <v>2014</v>
      </c>
      <c r="D105" s="153">
        <v>2015</v>
      </c>
      <c r="E105" s="153">
        <v>2016</v>
      </c>
      <c r="F105" s="153">
        <v>2017</v>
      </c>
      <c r="G105" s="153">
        <v>2018</v>
      </c>
      <c r="H105" s="153">
        <v>2019</v>
      </c>
      <c r="I105" s="153">
        <v>2020</v>
      </c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</row>
    <row r="106" spans="1:177" s="85" customFormat="1" ht="15.75">
      <c r="A106" s="141" t="s">
        <v>44</v>
      </c>
      <c r="B106" s="142" t="s">
        <v>1</v>
      </c>
      <c r="C106" s="143">
        <f aca="true" t="shared" si="15" ref="C106:I106">C107+C111+C115</f>
        <v>33539862.199999996</v>
      </c>
      <c r="D106" s="143">
        <f t="shared" si="15"/>
        <v>34447183.04</v>
      </c>
      <c r="E106" s="143">
        <f t="shared" si="15"/>
        <v>38140394.839999996</v>
      </c>
      <c r="F106" s="143">
        <f t="shared" si="15"/>
        <v>38814636.63</v>
      </c>
      <c r="G106" s="143">
        <f t="shared" si="15"/>
        <v>42117825.78479268</v>
      </c>
      <c r="H106" s="143">
        <f t="shared" si="15"/>
        <v>44065865.01159915</v>
      </c>
      <c r="I106" s="143">
        <f t="shared" si="15"/>
        <v>45089917.79527703</v>
      </c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</row>
    <row r="107" spans="1:177" s="85" customFormat="1" ht="15.75">
      <c r="A107" s="141" t="s">
        <v>45</v>
      </c>
      <c r="B107" s="142" t="s">
        <v>46</v>
      </c>
      <c r="C107" s="143">
        <f>C108+C109+C110</f>
        <v>21348999.959999997</v>
      </c>
      <c r="D107" s="143">
        <f aca="true" t="shared" si="16" ref="D107:I107">D108+D109+D110</f>
        <v>22189868.29</v>
      </c>
      <c r="E107" s="143">
        <f t="shared" si="16"/>
        <v>24355727.5</v>
      </c>
      <c r="F107" s="143">
        <f>F108+F109+F110</f>
        <v>24994614.35</v>
      </c>
      <c r="G107" s="143">
        <f t="shared" si="16"/>
        <v>26754068.05510295</v>
      </c>
      <c r="H107" s="143">
        <f>H108+H109+H110</f>
        <v>27705988.9291632</v>
      </c>
      <c r="I107" s="143">
        <f t="shared" si="16"/>
        <v>28152037.729361005</v>
      </c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</row>
    <row r="108" spans="1:177" s="8" customFormat="1" ht="15">
      <c r="A108" s="154" t="s">
        <v>45</v>
      </c>
      <c r="B108" s="155" t="s">
        <v>397</v>
      </c>
      <c r="C108" s="84">
        <v>20016049.4</v>
      </c>
      <c r="D108" s="84">
        <v>20704516.95</v>
      </c>
      <c r="E108" s="84">
        <v>22548933.73</v>
      </c>
      <c r="F108" s="84">
        <v>23087829.5</v>
      </c>
      <c r="G108" s="132">
        <f>(((D108*(1+Parâmetros!B11)*(1+Parâmetros!C11)*(1+Parâmetros!D11))+(E108*(1+Parâmetros!C11)*(1+Parâmetros!D11)+(F108*(1+Parâmetros!D11))))/3)*(1+Parâmetros!E11)*(1+Parâmetros!E13)*(1+Parâmetros!E18)</f>
        <v>24816801.422693856</v>
      </c>
      <c r="H108" s="156">
        <f>G108*(1+Parâmetros!F11)*(1+Parâmetros!F13)*(1+Parâmetros!F18)</f>
        <v>25699793.543855198</v>
      </c>
      <c r="I108" s="156">
        <f>H108*(1+Parâmetros!G11)*(1+Parâmetros!G13)*(1+Parâmetros!G18)</f>
        <v>26113543.874329835</v>
      </c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</row>
    <row r="109" spans="1:177" s="8" customFormat="1" ht="15">
      <c r="A109" s="154" t="s">
        <v>45</v>
      </c>
      <c r="B109" s="155" t="s">
        <v>398</v>
      </c>
      <c r="C109" s="84">
        <v>0</v>
      </c>
      <c r="D109" s="84"/>
      <c r="E109" s="84"/>
      <c r="F109" s="84"/>
      <c r="G109" s="132">
        <f>(((D109*(1+Parâmetros!B11)*(1+Parâmetros!C11)*(1+Parâmetros!D11))+(E109*(1+Parâmetros!C11)*(1+Parâmetros!D11)+(F109*(1+Parâmetros!D11))))/3)*(1+Parâmetros!E11)*(1+Parâmetros!E13)*(1+Parâmetros!E19)</f>
        <v>0</v>
      </c>
      <c r="H109" s="156">
        <f>G109*(1+Parâmetros!F11)*(1+Parâmetros!F13)*(1+Parâmetros!F19)</f>
        <v>0</v>
      </c>
      <c r="I109" s="156">
        <f>H109*(1+Parâmetros!G11)*(1+Parâmetros!G13)*(1+Parâmetros!G19)</f>
        <v>0</v>
      </c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</row>
    <row r="110" spans="1:177" s="8" customFormat="1" ht="14.25" customHeight="1">
      <c r="A110" s="154" t="s">
        <v>45</v>
      </c>
      <c r="B110" s="155" t="s">
        <v>221</v>
      </c>
      <c r="C110" s="84">
        <v>1332950.56</v>
      </c>
      <c r="D110" s="84">
        <v>1485351.34</v>
      </c>
      <c r="E110" s="84">
        <v>1806793.77</v>
      </c>
      <c r="F110" s="84">
        <v>1906784.85</v>
      </c>
      <c r="G110" s="132">
        <f>(((D110*(1+Parâmetros!B11)*(1+Parâmetros!C11)*(1+Parâmetros!D11))+(E110*(1+Parâmetros!C11)*(1+Parâmetros!D11)+(F110*(1+Parâmetros!D11))))/3)*(1+Parâmetros!E11)*(1+Parâmetros!E13)*(1+Parâmetros!E18)</f>
        <v>1937266.6324090974</v>
      </c>
      <c r="H110" s="156">
        <f>G110*(1+Parâmetros!F11)*(1+Parâmetros!F13)*(1+Parâmetros!F18)</f>
        <v>2006195.3853079998</v>
      </c>
      <c r="I110" s="156">
        <f>H110*(1+Parâmetros!G11)*(1+Parâmetros!G13)*(1+Parâmetros!G18)</f>
        <v>2038493.855031168</v>
      </c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</row>
    <row r="111" spans="1:177" s="86" customFormat="1" ht="15.75">
      <c r="A111" s="141" t="s">
        <v>47</v>
      </c>
      <c r="B111" s="142" t="s">
        <v>135</v>
      </c>
      <c r="C111" s="143">
        <f aca="true" t="shared" si="17" ref="C111:I111">C112+C113+C114</f>
        <v>87059.75</v>
      </c>
      <c r="D111" s="143">
        <f t="shared" si="17"/>
        <v>229947.34</v>
      </c>
      <c r="E111" s="143">
        <f t="shared" si="17"/>
        <v>188424.72</v>
      </c>
      <c r="F111" s="143">
        <f t="shared" si="17"/>
        <v>230000</v>
      </c>
      <c r="G111" s="143">
        <f t="shared" si="17"/>
        <v>260222.2122631139</v>
      </c>
      <c r="H111" s="143">
        <f t="shared" si="17"/>
        <v>281820.65588095237</v>
      </c>
      <c r="I111" s="143">
        <f t="shared" si="17"/>
        <v>305268.13445024757</v>
      </c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</row>
    <row r="112" spans="1:177" ht="15">
      <c r="A112" s="154" t="s">
        <v>47</v>
      </c>
      <c r="B112" s="155" t="s">
        <v>399</v>
      </c>
      <c r="C112" s="84">
        <v>87059.75</v>
      </c>
      <c r="D112" s="84">
        <v>229947.34</v>
      </c>
      <c r="E112" s="84">
        <v>188424.72</v>
      </c>
      <c r="F112" s="84">
        <v>230000</v>
      </c>
      <c r="G112" s="132">
        <f>(((D112*(1+Parâmetros!B11)*(1+Parâmetros!C11)*(1+Parâmetros!D11))+(E112*(1+Parâmetros!C11)*(1+Parâmetros!D11)+(F112*(1+Parâmetros!D11))))/3)*(1+Parâmetros!E21)</f>
        <v>260222.2122631139</v>
      </c>
      <c r="H112" s="156">
        <f>G112*(1+Parâmetros!F21)</f>
        <v>281820.65588095237</v>
      </c>
      <c r="I112" s="156">
        <f>H112*(1+Parâmetros!G21)</f>
        <v>305268.13445024757</v>
      </c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</row>
    <row r="113" spans="1:177" ht="15">
      <c r="A113" s="154" t="s">
        <v>47</v>
      </c>
      <c r="B113" s="155" t="s">
        <v>400</v>
      </c>
      <c r="C113" s="84"/>
      <c r="D113" s="84"/>
      <c r="E113" s="84"/>
      <c r="F113" s="84"/>
      <c r="G113" s="132">
        <f>(((D113*(1+Parâmetros!B11)*(1+Parâmetros!C11)*(1+Parâmetros!D11))+(E113*(1+Parâmetros!C11)*(1+Parâmetros!D11)+(F113*(1+Parâmetros!D11))))/3)*(1+Parâmetros!E21)</f>
        <v>0</v>
      </c>
      <c r="H113" s="156">
        <f>G113*(1+Parâmetros!F21)</f>
        <v>0</v>
      </c>
      <c r="I113" s="156">
        <f>H113*(1+Parâmetros!G21)</f>
        <v>0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</row>
    <row r="114" spans="1:177" ht="15">
      <c r="A114" s="154" t="s">
        <v>47</v>
      </c>
      <c r="B114" s="155" t="s">
        <v>222</v>
      </c>
      <c r="C114" s="84"/>
      <c r="D114" s="84"/>
      <c r="E114" s="84"/>
      <c r="F114" s="84"/>
      <c r="G114" s="132">
        <f>(((D114*(1+Parâmetros!B11)*(1+Parâmetros!C11)*(1+Parâmetros!D11))+(E114*(1+Parâmetros!C11)*(1+Parâmetros!D11)+(F114*(1+Parâmetros!D11))))/3)*(1+Parâmetros!E21)</f>
        <v>0</v>
      </c>
      <c r="H114" s="156">
        <f>G114*(1+Parâmetros!F21)</f>
        <v>0</v>
      </c>
      <c r="I114" s="156">
        <f>H114*(1+Parâmetros!G21)</f>
        <v>0</v>
      </c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  <c r="FL114" s="80"/>
      <c r="FM114" s="80"/>
      <c r="FN114" s="80"/>
      <c r="FO114" s="80"/>
      <c r="FP114" s="80"/>
      <c r="FQ114" s="80"/>
      <c r="FR114" s="80"/>
      <c r="FS114" s="80"/>
      <c r="FT114" s="80"/>
      <c r="FU114" s="80"/>
    </row>
    <row r="115" spans="1:177" s="85" customFormat="1" ht="15.75">
      <c r="A115" s="141" t="s">
        <v>48</v>
      </c>
      <c r="B115" s="142" t="s">
        <v>49</v>
      </c>
      <c r="C115" s="143">
        <f aca="true" t="shared" si="18" ref="C115:I115">C116+C117+C118</f>
        <v>12103802.49</v>
      </c>
      <c r="D115" s="143">
        <f t="shared" si="18"/>
        <v>12027367.41</v>
      </c>
      <c r="E115" s="143">
        <f t="shared" si="18"/>
        <v>13596242.62</v>
      </c>
      <c r="F115" s="143">
        <f t="shared" si="18"/>
        <v>13590022.28</v>
      </c>
      <c r="G115" s="143">
        <f t="shared" si="18"/>
        <v>15103535.517426606</v>
      </c>
      <c r="H115" s="143">
        <f t="shared" si="18"/>
        <v>16078055.426555004</v>
      </c>
      <c r="I115" s="143">
        <f t="shared" si="18"/>
        <v>16632611.931465773</v>
      </c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</row>
    <row r="116" spans="1:177" s="8" customFormat="1" ht="15">
      <c r="A116" s="154" t="s">
        <v>48</v>
      </c>
      <c r="B116" s="155" t="s">
        <v>401</v>
      </c>
      <c r="C116" s="84">
        <v>12077551.99</v>
      </c>
      <c r="D116" s="84">
        <v>12000492.26</v>
      </c>
      <c r="E116" s="84">
        <v>13496242.62</v>
      </c>
      <c r="F116" s="84">
        <v>13490022.28</v>
      </c>
      <c r="G116" s="132">
        <f>(((D116*(1+Parâmetros!B11)*(1+Parâmetros!C11)*(1+Parâmetros!D11))+(E116*(1+Parâmetros!C11)*(1+Parâmetros!D11)+(F116*(1+Parâmetros!D11))))/3)*(1+Parâmetros!E11)*(1+Parâmetros!E14)</f>
        <v>15018367.56524149</v>
      </c>
      <c r="H116" s="156">
        <f>G116*(1+Parâmetros!F11)*(1+Parâmetros!F14)</f>
        <v>15987392.213678883</v>
      </c>
      <c r="I116" s="156">
        <f>H116*(1+Parâmetros!G11)*(1+Parâmetros!G14)</f>
        <v>16538821.606938232</v>
      </c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</row>
    <row r="117" spans="1:177" s="8" customFormat="1" ht="15">
      <c r="A117" s="154" t="s">
        <v>48</v>
      </c>
      <c r="B117" s="155" t="s">
        <v>402</v>
      </c>
      <c r="C117" s="84">
        <v>0</v>
      </c>
      <c r="D117" s="84">
        <v>0</v>
      </c>
      <c r="E117" s="84"/>
      <c r="F117" s="84"/>
      <c r="G117" s="132">
        <f>(((D117*(1+Parâmetros!B11)*(1+Parâmetros!C11)*(1+Parâmetros!D11))+(E117*(1+Parâmetros!C11)*(1+Parâmetros!D11)+(F117*(1+Parâmetros!D11))))/3)*(1+Parâmetros!E11)*(1+Parâmetros!E14)</f>
        <v>0</v>
      </c>
      <c r="H117" s="156">
        <f>G117*(1+Parâmetros!F11)*(1+Parâmetros!F14)</f>
        <v>0</v>
      </c>
      <c r="I117" s="156">
        <f>H117*(1+Parâmetros!G11)*(1+Parâmetros!G14)</f>
        <v>0</v>
      </c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</row>
    <row r="118" spans="1:177" s="8" customFormat="1" ht="15">
      <c r="A118" s="154" t="s">
        <v>48</v>
      </c>
      <c r="B118" s="155" t="s">
        <v>403</v>
      </c>
      <c r="C118" s="84">
        <v>26250.5</v>
      </c>
      <c r="D118" s="84">
        <v>26875.15</v>
      </c>
      <c r="E118" s="84">
        <v>100000</v>
      </c>
      <c r="F118" s="84">
        <v>100000</v>
      </c>
      <c r="G118" s="132">
        <f>(((D118*(1+Parâmetros!B11)*(1+Parâmetros!C11)*(1+Parâmetros!D11))+(E118*(1+Parâmetros!C11)*(1+Parâmetros!D11)+(F118*(1+Parâmetros!D11))))/3)*(1+Parâmetros!E11)*(1+Parâmetros!E14)</f>
        <v>85167.95218511653</v>
      </c>
      <c r="H118" s="156">
        <f>G118*(1+Parâmetros!F11)*(1+Parâmetros!F14)</f>
        <v>90663.21287612016</v>
      </c>
      <c r="I118" s="156">
        <f>H118*(1+Parâmetros!G11)*(1+Parâmetros!G14)</f>
        <v>93790.32452754049</v>
      </c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</row>
    <row r="119" spans="1:177" s="85" customFormat="1" ht="15.75">
      <c r="A119" s="141" t="s">
        <v>50</v>
      </c>
      <c r="B119" s="142" t="s">
        <v>2</v>
      </c>
      <c r="C119" s="143">
        <f aca="true" t="shared" si="19" ref="C119:I119">C120+C124+C128</f>
        <v>2129214.84</v>
      </c>
      <c r="D119" s="143">
        <f t="shared" si="19"/>
        <v>2827516.29</v>
      </c>
      <c r="E119" s="143">
        <f t="shared" si="19"/>
        <v>1938536.33</v>
      </c>
      <c r="F119" s="143">
        <f t="shared" si="19"/>
        <v>2372180.46</v>
      </c>
      <c r="G119" s="143">
        <f t="shared" si="19"/>
        <v>2720477.7704563546</v>
      </c>
      <c r="H119" s="143">
        <f t="shared" si="19"/>
        <v>2649206.253206101</v>
      </c>
      <c r="I119" s="143">
        <f t="shared" si="19"/>
        <v>2764594.816745021</v>
      </c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94"/>
      <c r="FQ119" s="94"/>
      <c r="FR119" s="94"/>
      <c r="FS119" s="94"/>
      <c r="FT119" s="94"/>
      <c r="FU119" s="94"/>
    </row>
    <row r="120" spans="1:177" s="85" customFormat="1" ht="15.75">
      <c r="A120" s="141" t="s">
        <v>51</v>
      </c>
      <c r="B120" s="142" t="s">
        <v>3</v>
      </c>
      <c r="C120" s="143">
        <f aca="true" t="shared" si="20" ref="C120:I120">C121+C122+C123</f>
        <v>1591547.71</v>
      </c>
      <c r="D120" s="143">
        <f t="shared" si="20"/>
        <v>1966810.55</v>
      </c>
      <c r="E120" s="143">
        <f t="shared" si="20"/>
        <v>1174462.24</v>
      </c>
      <c r="F120" s="143">
        <f t="shared" si="20"/>
        <v>1397180.46</v>
      </c>
      <c r="G120" s="143">
        <f t="shared" si="20"/>
        <v>1715316.4257884517</v>
      </c>
      <c r="H120" s="143">
        <f t="shared" si="20"/>
        <v>1601325.5513898123</v>
      </c>
      <c r="I120" s="143">
        <f t="shared" si="20"/>
        <v>1673646.218084083</v>
      </c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</row>
    <row r="121" spans="1:177" s="8" customFormat="1" ht="15">
      <c r="A121" s="154" t="s">
        <v>51</v>
      </c>
      <c r="B121" s="155" t="s">
        <v>404</v>
      </c>
      <c r="C121" s="84">
        <v>1591547.71</v>
      </c>
      <c r="D121" s="84">
        <v>1966810.55</v>
      </c>
      <c r="E121" s="84">
        <v>1174462.24</v>
      </c>
      <c r="F121" s="84">
        <v>1397180.46</v>
      </c>
      <c r="G121" s="132">
        <f>(((D121*(1+Parâmetros!B11)*(1+Parâmetros!C11)*(1+Parâmetros!D11))+(E121*(1+Parâmetros!C11)*(1+Parâmetros!D11)+(F121*(1+Parâmetros!D11))))/3)*(1+Parâmetros!E11)*(1+Parâmetros!E20)</f>
        <v>1715316.4257884517</v>
      </c>
      <c r="H121" s="156">
        <f>G121*(1+Parâmetros!F11)*(1+Parâmetros!F20)</f>
        <v>1601325.5513898123</v>
      </c>
      <c r="I121" s="156">
        <f>H121*(1+Parâmetros!G11)*(1+Parâmetros!G20)</f>
        <v>1673646.218084083</v>
      </c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</row>
    <row r="122" spans="1:177" s="8" customFormat="1" ht="15">
      <c r="A122" s="154" t="s">
        <v>51</v>
      </c>
      <c r="B122" s="155" t="s">
        <v>405</v>
      </c>
      <c r="C122" s="84"/>
      <c r="D122" s="84"/>
      <c r="E122" s="84"/>
      <c r="F122" s="84"/>
      <c r="G122" s="132">
        <f>(((D122*(1+Parâmetros!B11)*(1+Parâmetros!C11)*(1+Parâmetros!D11))+(E122*(1+Parâmetros!C11)*(1+Parâmetros!D11)+(F122*(1+Parâmetros!D11))))/3)*(1+Parâmetros!E11)*(1+Parâmetros!E20)</f>
        <v>0</v>
      </c>
      <c r="H122" s="156">
        <f>G122*(1+Parâmetros!F11)*(1+Parâmetros!F20)</f>
        <v>0</v>
      </c>
      <c r="I122" s="156">
        <f>H122*(1+Parâmetros!G11)*(1+Parâmetros!G20)</f>
        <v>0</v>
      </c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</row>
    <row r="123" spans="1:177" s="8" customFormat="1" ht="15">
      <c r="A123" s="154" t="s">
        <v>51</v>
      </c>
      <c r="B123" s="155" t="s">
        <v>223</v>
      </c>
      <c r="C123" s="84"/>
      <c r="D123" s="84"/>
      <c r="E123" s="84"/>
      <c r="F123" s="84"/>
      <c r="G123" s="132">
        <f>(((D123*(1+Parâmetros!B11)*(1+Parâmetros!C11)*(1+Parâmetros!D11))+(E123*(1+Parâmetros!C11)*(1+Parâmetros!D11)+(F123*(1+Parâmetros!D11))))/3)*(1+Parâmetros!E11)*(1+Parâmetros!E20)</f>
        <v>0</v>
      </c>
      <c r="H123" s="156">
        <f>G123*(1+Parâmetros!F11)*(1+Parâmetros!F20)</f>
        <v>0</v>
      </c>
      <c r="I123" s="156">
        <f>H123*(1+Parâmetros!G11)*(1+Parâmetros!G20)</f>
        <v>0</v>
      </c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</row>
    <row r="124" spans="1:177" s="85" customFormat="1" ht="15.75">
      <c r="A124" s="141" t="s">
        <v>52</v>
      </c>
      <c r="B124" s="142" t="s">
        <v>4</v>
      </c>
      <c r="C124" s="143">
        <f aca="true" t="shared" si="21" ref="C124:I124">C125+C126+C127</f>
        <v>0</v>
      </c>
      <c r="D124" s="143">
        <f t="shared" si="21"/>
        <v>0</v>
      </c>
      <c r="E124" s="143">
        <f t="shared" si="21"/>
        <v>0</v>
      </c>
      <c r="F124" s="143">
        <f t="shared" si="21"/>
        <v>0</v>
      </c>
      <c r="G124" s="143">
        <f t="shared" si="21"/>
        <v>0</v>
      </c>
      <c r="H124" s="143">
        <f t="shared" si="21"/>
        <v>0</v>
      </c>
      <c r="I124" s="143">
        <f t="shared" si="21"/>
        <v>0</v>
      </c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</row>
    <row r="125" spans="1:177" ht="15">
      <c r="A125" s="154" t="s">
        <v>53</v>
      </c>
      <c r="B125" s="157" t="s">
        <v>54</v>
      </c>
      <c r="C125" s="84"/>
      <c r="D125" s="84"/>
      <c r="E125" s="84"/>
      <c r="F125" s="84"/>
      <c r="G125" s="132">
        <f>(((D125*(1+Parâmetros!B11)*(1+Parâmetros!C11)*(1+Parâmetros!D11))+(E125*(1+Parâmetros!C11)*(1+Parâmetros!D11)+(F125*(1+Parâmetros!D11))))/3)*(1+Parâmetros!E11)</f>
        <v>0</v>
      </c>
      <c r="H125" s="156">
        <f>G125*(1+Parâmetros!F11)</f>
        <v>0</v>
      </c>
      <c r="I125" s="156">
        <f>H125*(1+Parâmetros!G11)</f>
        <v>0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</row>
    <row r="126" spans="1:177" ht="15">
      <c r="A126" s="154" t="s">
        <v>406</v>
      </c>
      <c r="B126" s="157" t="s">
        <v>407</v>
      </c>
      <c r="C126" s="84"/>
      <c r="D126" s="84"/>
      <c r="E126" s="84"/>
      <c r="F126" s="84"/>
      <c r="G126" s="132">
        <f>(((D126*(1+Parâmetros!B11)*(1+Parâmetros!C11)*(1+Parâmetros!D11))+(E126*(1+Parâmetros!C11)*(1+Parâmetros!D11)+(F126*(1+Parâmetros!D11))))/3)*(1+Parâmetros!E11)</f>
        <v>0</v>
      </c>
      <c r="H126" s="156">
        <f>G126*(1+Parâmetros!F11)</f>
        <v>0</v>
      </c>
      <c r="I126" s="156">
        <f>H126*(1+Parâmetros!G11)</f>
        <v>0</v>
      </c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</row>
    <row r="127" spans="1:177" ht="15">
      <c r="A127" s="154" t="s">
        <v>406</v>
      </c>
      <c r="B127" s="157" t="s">
        <v>408</v>
      </c>
      <c r="C127" s="84"/>
      <c r="D127" s="84"/>
      <c r="E127" s="84"/>
      <c r="F127" s="84"/>
      <c r="G127" s="132">
        <f>(((D127*(1+Parâmetros!B11)*(1+Parâmetros!C11)*(1+Parâmetros!D11))+(E127*(1+Parâmetros!C11)*(1+Parâmetros!D11)+(F127*(1+Parâmetros!D11))))/3)*(1+Parâmetros!E11)</f>
        <v>0</v>
      </c>
      <c r="H127" s="156">
        <f>G127*(1+Parâmetros!F11)</f>
        <v>0</v>
      </c>
      <c r="I127" s="156">
        <f>H127*(1+Parâmetros!G11)</f>
        <v>0</v>
      </c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</row>
    <row r="128" spans="1:177" s="85" customFormat="1" ht="15.75">
      <c r="A128" s="141" t="s">
        <v>55</v>
      </c>
      <c r="B128" s="142" t="s">
        <v>56</v>
      </c>
      <c r="C128" s="143">
        <f>C129+C130+C131</f>
        <v>537667.13</v>
      </c>
      <c r="D128" s="143">
        <f aca="true" t="shared" si="22" ref="D128:I128">D129+D130+D131</f>
        <v>860705.74</v>
      </c>
      <c r="E128" s="143">
        <f t="shared" si="22"/>
        <v>764074.09</v>
      </c>
      <c r="F128" s="143">
        <f t="shared" si="22"/>
        <v>975000</v>
      </c>
      <c r="G128" s="143">
        <f t="shared" si="22"/>
        <v>1005161.3446679028</v>
      </c>
      <c r="H128" s="143">
        <f t="shared" si="22"/>
        <v>1047880.7018162886</v>
      </c>
      <c r="I128" s="143">
        <f t="shared" si="22"/>
        <v>1090948.598660938</v>
      </c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94"/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  <c r="EY128" s="94"/>
      <c r="EZ128" s="94"/>
      <c r="FA128" s="94"/>
      <c r="FB128" s="94"/>
      <c r="FC128" s="94"/>
      <c r="FD128" s="94"/>
      <c r="FE128" s="94"/>
      <c r="FF128" s="94"/>
      <c r="FG128" s="94"/>
      <c r="FH128" s="94"/>
      <c r="FI128" s="94"/>
      <c r="FJ128" s="94"/>
      <c r="FK128" s="94"/>
      <c r="FL128" s="94"/>
      <c r="FM128" s="94"/>
      <c r="FN128" s="94"/>
      <c r="FO128" s="94"/>
      <c r="FP128" s="94"/>
      <c r="FQ128" s="94"/>
      <c r="FR128" s="94"/>
      <c r="FS128" s="94"/>
      <c r="FT128" s="94"/>
      <c r="FU128" s="94"/>
    </row>
    <row r="129" spans="1:177" s="8" customFormat="1" ht="15">
      <c r="A129" s="154" t="s">
        <v>55</v>
      </c>
      <c r="B129" s="157" t="s">
        <v>409</v>
      </c>
      <c r="C129" s="84">
        <v>537667.13</v>
      </c>
      <c r="D129" s="84">
        <v>860705.74</v>
      </c>
      <c r="E129" s="84">
        <v>764074.09</v>
      </c>
      <c r="F129" s="84">
        <v>975000</v>
      </c>
      <c r="G129" s="132">
        <f>(((D129*(1+Parâmetros!B11)*(1+Parâmetros!C11)*(1+Parâmetros!D11))+(E129*(1+Parâmetros!C11)*(1+Parâmetros!D11)+(F129*(1+Parâmetros!D11))))/3)*(1+Parâmetros!E11)</f>
        <v>1005161.3446679028</v>
      </c>
      <c r="H129" s="156">
        <f>G129*(1+Parâmetros!F11)</f>
        <v>1047880.7018162886</v>
      </c>
      <c r="I129" s="156">
        <f>H129*(1+Parâmetros!G11)</f>
        <v>1090948.598660938</v>
      </c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/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4"/>
      <c r="FT129" s="94"/>
      <c r="FU129" s="94"/>
    </row>
    <row r="130" spans="1:177" s="8" customFormat="1" ht="15">
      <c r="A130" s="154" t="s">
        <v>55</v>
      </c>
      <c r="B130" s="157" t="s">
        <v>410</v>
      </c>
      <c r="C130" s="84"/>
      <c r="D130" s="84"/>
      <c r="E130" s="84"/>
      <c r="F130" s="84"/>
      <c r="G130" s="132">
        <f>(((D130*(1+Parâmetros!B11)*(1+Parâmetros!C11)*(1+Parâmetros!D11))+(E130*(1+Parâmetros!C11)*(1+Parâmetros!D11)+(F130*(1+Parâmetros!D11))))/3)*(1+Parâmetros!E11)</f>
        <v>0</v>
      </c>
      <c r="H130" s="156">
        <f>G130*(1+Parâmetros!F11)</f>
        <v>0</v>
      </c>
      <c r="I130" s="156">
        <f>H130*(1+Parâmetros!G11)</f>
        <v>0</v>
      </c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4"/>
      <c r="DF130" s="94"/>
      <c r="DG130" s="94"/>
      <c r="DH130" s="94"/>
      <c r="DI130" s="94"/>
      <c r="DJ130" s="94"/>
      <c r="DK130" s="94"/>
      <c r="DL130" s="94"/>
      <c r="DM130" s="94"/>
      <c r="DN130" s="94"/>
      <c r="DO130" s="94"/>
      <c r="DP130" s="94"/>
      <c r="DQ130" s="94"/>
      <c r="DR130" s="94"/>
      <c r="DS130" s="94"/>
      <c r="DT130" s="94"/>
      <c r="DU130" s="94"/>
      <c r="DV130" s="94"/>
      <c r="DW130" s="94"/>
      <c r="DX130" s="94"/>
      <c r="DY130" s="94"/>
      <c r="DZ130" s="94"/>
      <c r="EA130" s="94"/>
      <c r="EB130" s="94"/>
      <c r="EC130" s="94"/>
      <c r="ED130" s="94"/>
      <c r="EE130" s="94"/>
      <c r="EF130" s="94"/>
      <c r="EG130" s="94"/>
      <c r="EH130" s="94"/>
      <c r="EI130" s="94"/>
      <c r="EJ130" s="94"/>
      <c r="EK130" s="94"/>
      <c r="EL130" s="94"/>
      <c r="EM130" s="94"/>
      <c r="EN130" s="94"/>
      <c r="EO130" s="94"/>
      <c r="EP130" s="94"/>
      <c r="EQ130" s="94"/>
      <c r="ER130" s="94"/>
      <c r="ES130" s="94"/>
      <c r="ET130" s="94"/>
      <c r="EU130" s="94"/>
      <c r="EV130" s="94"/>
      <c r="EW130" s="94"/>
      <c r="EX130" s="94"/>
      <c r="EY130" s="94"/>
      <c r="EZ130" s="94"/>
      <c r="FA130" s="94"/>
      <c r="FB130" s="94"/>
      <c r="FC130" s="94"/>
      <c r="FD130" s="94"/>
      <c r="FE130" s="94"/>
      <c r="FF130" s="94"/>
      <c r="FG130" s="94"/>
      <c r="FH130" s="94"/>
      <c r="FI130" s="94"/>
      <c r="FJ130" s="94"/>
      <c r="FK130" s="94"/>
      <c r="FL130" s="94"/>
      <c r="FM130" s="94"/>
      <c r="FN130" s="94"/>
      <c r="FO130" s="94"/>
      <c r="FP130" s="94"/>
      <c r="FQ130" s="94"/>
      <c r="FR130" s="94"/>
      <c r="FS130" s="94"/>
      <c r="FT130" s="94"/>
      <c r="FU130" s="94"/>
    </row>
    <row r="131" spans="1:177" s="8" customFormat="1" ht="15">
      <c r="A131" s="154" t="s">
        <v>55</v>
      </c>
      <c r="B131" s="157" t="s">
        <v>411</v>
      </c>
      <c r="C131" s="84"/>
      <c r="D131" s="84"/>
      <c r="E131" s="84"/>
      <c r="F131" s="84"/>
      <c r="G131" s="132">
        <f>(((D131*(1+Parâmetros!B11)*(1+Parâmetros!C11)*(1+Parâmetros!D11))+(E131*(1+Parâmetros!C11)*(1+Parâmetros!D11)+(F131*(1+Parâmetros!D11))))/3)*(1+Parâmetros!E11)</f>
        <v>0</v>
      </c>
      <c r="H131" s="156">
        <f>G131*(1+Parâmetros!F11)</f>
        <v>0</v>
      </c>
      <c r="I131" s="156">
        <f>H131*(1+Parâmetros!G11)</f>
        <v>0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</row>
    <row r="132" spans="1:177" s="8" customFormat="1" ht="15">
      <c r="A132" s="154" t="s">
        <v>199</v>
      </c>
      <c r="B132" s="157" t="s">
        <v>136</v>
      </c>
      <c r="C132" s="159"/>
      <c r="D132" s="159"/>
      <c r="E132" s="159"/>
      <c r="F132" s="159"/>
      <c r="G132" s="156">
        <f>((G98-G17-G28-G69-G88-G90)-(G108+G109+G112+G113+G116+G117+G121+G122+G125+G126+G127+G129+G130))</f>
        <v>-3222649.88830398</v>
      </c>
      <c r="H132" s="156">
        <f>((H98-H17-H28-H69-H88-H90)-(H108+H109+H112+H113+H116+H117+H121+H122+H125+H126+H127+H129+H130))</f>
        <v>-3336657.065190956</v>
      </c>
      <c r="I132" s="156">
        <f>((I98-I17-I28-I69-I88-I90)-(I108+I109+I112+I113+I116+I117+I121+I122+I125+I126+I127+I129+I130))</f>
        <v>-2705793.538652569</v>
      </c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94"/>
      <c r="FD132" s="94"/>
      <c r="FE132" s="94"/>
      <c r="FF132" s="94"/>
      <c r="FG132" s="94"/>
      <c r="FH132" s="94"/>
      <c r="FI132" s="94"/>
      <c r="FJ132" s="94"/>
      <c r="FK132" s="94"/>
      <c r="FL132" s="94"/>
      <c r="FM132" s="94"/>
      <c r="FN132" s="94"/>
      <c r="FO132" s="94"/>
      <c r="FP132" s="94"/>
      <c r="FQ132" s="94"/>
      <c r="FR132" s="94"/>
      <c r="FS132" s="94"/>
      <c r="FT132" s="94"/>
      <c r="FU132" s="94"/>
    </row>
    <row r="133" spans="1:177" ht="15">
      <c r="A133" s="154" t="s">
        <v>200</v>
      </c>
      <c r="B133" s="155" t="s">
        <v>153</v>
      </c>
      <c r="C133" s="159"/>
      <c r="D133" s="159"/>
      <c r="E133" s="159"/>
      <c r="F133" s="159"/>
      <c r="G133" s="156">
        <f>G17+G28+G69+G88+G90-G110-G114-G118-G123-G131</f>
        <v>3233346.3354057856</v>
      </c>
      <c r="H133" s="156">
        <f>H17+H28+H69+H88+H90-H110-H114-H118-H123-H131</f>
        <v>3370863.8628463615</v>
      </c>
      <c r="I133" s="156">
        <f>I17+I28+I69+I88+I90-I110-I114-I118-I123-I131</f>
        <v>3529522.905109186</v>
      </c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</row>
    <row r="134" spans="1:177" s="9" customFormat="1" ht="29.25" customHeight="1" thickBot="1">
      <c r="A134" s="158"/>
      <c r="B134" s="101" t="s">
        <v>57</v>
      </c>
      <c r="C134" s="102">
        <f>C106+C119</f>
        <v>35669077.03999999</v>
      </c>
      <c r="D134" s="102">
        <f>D106+D119</f>
        <v>37274699.33</v>
      </c>
      <c r="E134" s="102">
        <f>E106+E119</f>
        <v>40078931.169999994</v>
      </c>
      <c r="F134" s="102">
        <f>F106+F119</f>
        <v>41186817.09</v>
      </c>
      <c r="G134" s="102">
        <f>G106+G119+G132+G133</f>
        <v>44849000.00235084</v>
      </c>
      <c r="H134" s="102">
        <f>H106+H119+H132+H133</f>
        <v>46749278.06246066</v>
      </c>
      <c r="I134" s="102">
        <f>I106+I119+I132+I133</f>
        <v>48678241.97847867</v>
      </c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</row>
    <row r="135" spans="1:177" s="1" customFormat="1" ht="17.25" customHeight="1" hidden="1">
      <c r="A135" s="21"/>
      <c r="B135" s="25" t="s">
        <v>34</v>
      </c>
      <c r="C135" s="87"/>
      <c r="D135" s="88"/>
      <c r="E135" s="88"/>
      <c r="F135" s="88"/>
      <c r="G135" s="88"/>
      <c r="H135" s="88"/>
      <c r="I135" s="88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</row>
    <row r="136" spans="1:177" s="1" customFormat="1" ht="17.25" customHeight="1" hidden="1">
      <c r="A136" s="22"/>
      <c r="B136" s="23" t="s">
        <v>7</v>
      </c>
      <c r="C136" s="24" t="s">
        <v>9</v>
      </c>
      <c r="D136" s="24" t="e">
        <f>IF(#REF!&gt;0,"REALIZADO","PROJETADO")</f>
        <v>#REF!</v>
      </c>
      <c r="E136" s="24" t="e">
        <f>IF(#REF!&gt;0,"REALIZADO","PROJETADO")</f>
        <v>#REF!</v>
      </c>
      <c r="F136" s="24" t="e">
        <f>IF(#REF!&gt;0,"REALIZADO","PROJETADO")</f>
        <v>#REF!</v>
      </c>
      <c r="G136" s="24" t="s">
        <v>12</v>
      </c>
      <c r="H136" s="24"/>
      <c r="I136" s="24" t="s">
        <v>12</v>
      </c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</row>
    <row r="137" spans="1:177" s="1" customFormat="1" ht="17.25" customHeight="1" hidden="1">
      <c r="A137" s="22"/>
      <c r="B137" s="89" t="s">
        <v>6</v>
      </c>
      <c r="C137" s="90">
        <v>1999</v>
      </c>
      <c r="D137" s="90">
        <v>2000</v>
      </c>
      <c r="E137" s="90">
        <v>2001</v>
      </c>
      <c r="F137" s="90">
        <v>2002</v>
      </c>
      <c r="G137" s="90">
        <v>2003</v>
      </c>
      <c r="H137" s="90"/>
      <c r="I137" s="90">
        <v>2004</v>
      </c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</row>
    <row r="138" spans="1:177" s="1" customFormat="1" ht="17.25" customHeight="1" hidden="1">
      <c r="A138" s="22"/>
      <c r="B138" s="25"/>
      <c r="C138" s="26"/>
      <c r="D138" s="26"/>
      <c r="E138" s="26"/>
      <c r="F138" s="26"/>
      <c r="G138" s="26"/>
      <c r="H138" s="26"/>
      <c r="I138" s="26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</row>
    <row r="139" spans="1:177" s="1" customFormat="1" ht="16.5" hidden="1" thickBot="1">
      <c r="A139" s="22"/>
      <c r="B139" s="25" t="s">
        <v>14</v>
      </c>
      <c r="C139" s="27" t="e">
        <f>C8-#REF!-C14+C143-#REF!</f>
        <v>#REF!</v>
      </c>
      <c r="D139" s="27" t="e">
        <f>D8-#REF!-D14+D143-#REF!</f>
        <v>#REF!</v>
      </c>
      <c r="E139" s="27" t="e">
        <f>E8-#REF!-E14+E143-#REF!</f>
        <v>#REF!</v>
      </c>
      <c r="F139" s="27" t="e">
        <f>F8-#REF!-F14+F143-#REF!</f>
        <v>#REF!</v>
      </c>
      <c r="G139" s="27" t="e">
        <f>G8-#REF!-G14+G143-#REF!</f>
        <v>#REF!</v>
      </c>
      <c r="H139" s="27"/>
      <c r="I139" s="27" t="e">
        <f>I8-#REF!-I14+I143-#REF!</f>
        <v>#REF!</v>
      </c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</row>
    <row r="140" spans="1:177" s="1" customFormat="1" ht="16.5" hidden="1" thickBot="1">
      <c r="A140" s="22"/>
      <c r="B140" s="25" t="s">
        <v>15</v>
      </c>
      <c r="C140" s="27">
        <f>C9</f>
        <v>7280040.66</v>
      </c>
      <c r="D140" s="27">
        <f>D9</f>
        <v>7519749.78</v>
      </c>
      <c r="E140" s="27">
        <f>E9</f>
        <v>7417617.630000001</v>
      </c>
      <c r="F140" s="27">
        <f>F9</f>
        <v>7730368.43</v>
      </c>
      <c r="G140" s="27">
        <f>G9</f>
        <v>7600495.07</v>
      </c>
      <c r="H140" s="27"/>
      <c r="I140" s="27">
        <f>I9</f>
        <v>8209695.914556988</v>
      </c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</row>
    <row r="141" spans="1:177" s="1" customFormat="1" ht="16.5" hidden="1" thickBot="1">
      <c r="A141" s="22"/>
      <c r="B141" s="25" t="s">
        <v>16</v>
      </c>
      <c r="C141" s="27" t="e">
        <f>C19+C20+C21+#REF!+#REF!+#REF!+#REF!</f>
        <v>#REF!</v>
      </c>
      <c r="D141" s="27" t="e">
        <f>D19+D20+D21+#REF!+#REF!+#REF!+#REF!</f>
        <v>#REF!</v>
      </c>
      <c r="E141" s="27" t="e">
        <f>E19+E20+E21+#REF!+#REF!+#REF!+#REF!</f>
        <v>#REF!</v>
      </c>
      <c r="F141" s="27" t="e">
        <f>F19+F20+F21+#REF!+#REF!+#REF!+#REF!</f>
        <v>#REF!</v>
      </c>
      <c r="G141" s="27" t="e">
        <f>G19+G20+G21+#REF!+#REF!+#REF!+#REF!</f>
        <v>#REF!</v>
      </c>
      <c r="H141" s="27"/>
      <c r="I141" s="27" t="e">
        <f>I19+I20+I21+#REF!+#REF!+#REF!+#REF!</f>
        <v>#REF!</v>
      </c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</row>
    <row r="142" spans="1:177" s="1" customFormat="1" ht="16.5" hidden="1" thickBot="1">
      <c r="A142" s="22"/>
      <c r="B142" s="25" t="s">
        <v>17</v>
      </c>
      <c r="C142" s="27" t="e">
        <f>#REF!</f>
        <v>#REF!</v>
      </c>
      <c r="D142" s="27" t="e">
        <f>#REF!</f>
        <v>#REF!</v>
      </c>
      <c r="E142" s="27" t="e">
        <f>#REF!</f>
        <v>#REF!</v>
      </c>
      <c r="F142" s="27" t="e">
        <f>#REF!</f>
        <v>#REF!</v>
      </c>
      <c r="G142" s="27" t="e">
        <f>#REF!</f>
        <v>#REF!</v>
      </c>
      <c r="H142" s="27"/>
      <c r="I142" s="27" t="e">
        <f>#REF!</f>
        <v>#REF!</v>
      </c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</row>
    <row r="143" spans="1:177" s="1" customFormat="1" ht="16.5" hidden="1" thickBot="1">
      <c r="A143" s="22"/>
      <c r="B143" s="25" t="s">
        <v>18</v>
      </c>
      <c r="C143" s="27" t="e">
        <f>#REF!-#REF!</f>
        <v>#REF!</v>
      </c>
      <c r="D143" s="27" t="e">
        <f>#REF!-#REF!</f>
        <v>#REF!</v>
      </c>
      <c r="E143" s="27" t="e">
        <f>#REF!-#REF!</f>
        <v>#REF!</v>
      </c>
      <c r="F143" s="27" t="e">
        <f>#REF!-#REF!</f>
        <v>#REF!</v>
      </c>
      <c r="G143" s="27" t="e">
        <f>#REF!-#REF!</f>
        <v>#REF!</v>
      </c>
      <c r="H143" s="27"/>
      <c r="I143" s="27" t="e">
        <f>#REF!-#REF!</f>
        <v>#REF!</v>
      </c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</row>
    <row r="144" spans="1:177" s="1" customFormat="1" ht="16.5" hidden="1" thickBot="1">
      <c r="A144" s="22"/>
      <c r="B144" s="25" t="s">
        <v>19</v>
      </c>
      <c r="C144" s="27" t="e">
        <f>#REF!</f>
        <v>#REF!</v>
      </c>
      <c r="D144" s="27" t="e">
        <f>#REF!</f>
        <v>#REF!</v>
      </c>
      <c r="E144" s="27" t="e">
        <f>#REF!</f>
        <v>#REF!</v>
      </c>
      <c r="F144" s="27" t="e">
        <f>#REF!</f>
        <v>#REF!</v>
      </c>
      <c r="G144" s="27" t="e">
        <f>#REF!</f>
        <v>#REF!</v>
      </c>
      <c r="H144" s="27"/>
      <c r="I144" s="27" t="e">
        <f>#REF!</f>
        <v>#REF!</v>
      </c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</row>
    <row r="145" spans="1:177" s="1" customFormat="1" ht="16.5" hidden="1" thickBot="1">
      <c r="A145" s="22"/>
      <c r="B145" s="25" t="s">
        <v>20</v>
      </c>
      <c r="C145" s="27" t="e">
        <f>#REF!</f>
        <v>#REF!</v>
      </c>
      <c r="D145" s="27" t="e">
        <f>#REF!</f>
        <v>#REF!</v>
      </c>
      <c r="E145" s="27" t="e">
        <f>#REF!</f>
        <v>#REF!</v>
      </c>
      <c r="F145" s="27" t="e">
        <f>#REF!</f>
        <v>#REF!</v>
      </c>
      <c r="G145" s="27" t="e">
        <f>#REF!</f>
        <v>#REF!</v>
      </c>
      <c r="H145" s="27"/>
      <c r="I145" s="27" t="e">
        <f>#REF!</f>
        <v>#REF!</v>
      </c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</row>
    <row r="146" spans="1:177" s="1" customFormat="1" ht="16.5" hidden="1" thickBot="1">
      <c r="A146" s="22"/>
      <c r="B146" s="25" t="s">
        <v>21</v>
      </c>
      <c r="C146" s="27" t="e">
        <f>#REF!</f>
        <v>#REF!</v>
      </c>
      <c r="D146" s="27" t="e">
        <f>#REF!</f>
        <v>#REF!</v>
      </c>
      <c r="E146" s="27" t="e">
        <f>#REF!</f>
        <v>#REF!</v>
      </c>
      <c r="F146" s="27" t="e">
        <f>#REF!</f>
        <v>#REF!</v>
      </c>
      <c r="G146" s="27" t="e">
        <f>#REF!</f>
        <v>#REF!</v>
      </c>
      <c r="H146" s="27"/>
      <c r="I146" s="27" t="e">
        <f>#REF!</f>
        <v>#REF!</v>
      </c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</row>
    <row r="147" spans="1:177" s="1" customFormat="1" ht="16.5" hidden="1" thickBot="1">
      <c r="A147" s="22"/>
      <c r="B147" s="25" t="s">
        <v>22</v>
      </c>
      <c r="C147" s="27" t="e">
        <f>#REF!</f>
        <v>#REF!</v>
      </c>
      <c r="D147" s="27" t="e">
        <f>#REF!</f>
        <v>#REF!</v>
      </c>
      <c r="E147" s="27" t="e">
        <f>#REF!</f>
        <v>#REF!</v>
      </c>
      <c r="F147" s="27" t="e">
        <f>#REF!</f>
        <v>#REF!</v>
      </c>
      <c r="G147" s="27" t="e">
        <f>#REF!</f>
        <v>#REF!</v>
      </c>
      <c r="H147" s="27"/>
      <c r="I147" s="27" t="e">
        <f>#REF!</f>
        <v>#REF!</v>
      </c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</row>
    <row r="148" spans="1:177" s="1" customFormat="1" ht="16.5" hidden="1" thickBot="1">
      <c r="A148" s="22"/>
      <c r="B148" s="25" t="s">
        <v>23</v>
      </c>
      <c r="C148" s="27" t="e">
        <f>#REF!+#REF!+C125+C126+C128+#REF!+C133+C134+C111+#REF!</f>
        <v>#REF!</v>
      </c>
      <c r="D148" s="27" t="e">
        <f>#REF!+#REF!+D125+D126+D128+#REF!+D133+D134+D111+#REF!</f>
        <v>#REF!</v>
      </c>
      <c r="E148" s="27" t="e">
        <f>#REF!+#REF!+E125+E126+E128+#REF!+E133+E134+E111+#REF!</f>
        <v>#REF!</v>
      </c>
      <c r="F148" s="27" t="e">
        <f>#REF!+#REF!+F125+F126+F128+#REF!+F133+F134+F111+#REF!</f>
        <v>#REF!</v>
      </c>
      <c r="G148" s="27" t="e">
        <f>#REF!+#REF!+G125+G126+G128+#REF!+G133+G134+G111+#REF!</f>
        <v>#REF!</v>
      </c>
      <c r="H148" s="27"/>
      <c r="I148" s="27" t="e">
        <f>#REF!+#REF!+I125+I126+I128+#REF!+I133+I134+I111+#REF!</f>
        <v>#REF!</v>
      </c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</row>
    <row r="149" spans="1:177" s="1" customFormat="1" ht="16.5" hidden="1" thickBot="1">
      <c r="A149" s="22"/>
      <c r="B149" s="25" t="s">
        <v>24</v>
      </c>
      <c r="C149" s="27" t="e">
        <f>#REF!+#REF!</f>
        <v>#REF!</v>
      </c>
      <c r="D149" s="27" t="e">
        <f>#REF!+#REF!</f>
        <v>#REF!</v>
      </c>
      <c r="E149" s="27" t="e">
        <f>#REF!+#REF!</f>
        <v>#REF!</v>
      </c>
      <c r="F149" s="27" t="e">
        <f>#REF!+#REF!</f>
        <v>#REF!</v>
      </c>
      <c r="G149" s="27" t="e">
        <f>#REF!+#REF!</f>
        <v>#REF!</v>
      </c>
      <c r="H149" s="27"/>
      <c r="I149" s="27" t="e">
        <f>#REF!+#REF!</f>
        <v>#REF!</v>
      </c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  <c r="EB149" s="92"/>
      <c r="EC149" s="92"/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</row>
    <row r="150" spans="1:177" s="1" customFormat="1" ht="16.5" hidden="1" thickBot="1">
      <c r="A150" s="22"/>
      <c r="B150" s="25" t="s">
        <v>25</v>
      </c>
      <c r="C150" s="27">
        <f>C120+C124</f>
        <v>1591547.71</v>
      </c>
      <c r="D150" s="27">
        <f>D120+D124</f>
        <v>1966810.55</v>
      </c>
      <c r="E150" s="27">
        <f>E120+E124</f>
        <v>1174462.24</v>
      </c>
      <c r="F150" s="27">
        <f>F120+F124</f>
        <v>1397180.46</v>
      </c>
      <c r="G150" s="27">
        <f>G120+G124</f>
        <v>1715316.4257884517</v>
      </c>
      <c r="H150" s="27"/>
      <c r="I150" s="27">
        <f>I120+I124</f>
        <v>1673646.218084083</v>
      </c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  <c r="EB150" s="92"/>
      <c r="EC150" s="92"/>
      <c r="ED150" s="92"/>
      <c r="EE150" s="92"/>
      <c r="EF150" s="92"/>
      <c r="EG150" s="92"/>
      <c r="EH150" s="92"/>
      <c r="EI150" s="92"/>
      <c r="EJ150" s="92"/>
      <c r="EK150" s="92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</row>
    <row r="151" spans="1:177" s="1" customFormat="1" ht="16.5" hidden="1" thickBot="1">
      <c r="A151" s="22"/>
      <c r="B151" s="25" t="s">
        <v>26</v>
      </c>
      <c r="C151" s="27" t="e">
        <f>#REF!</f>
        <v>#REF!</v>
      </c>
      <c r="D151" s="27" t="e">
        <f>#REF!</f>
        <v>#REF!</v>
      </c>
      <c r="E151" s="27" t="e">
        <f>#REF!</f>
        <v>#REF!</v>
      </c>
      <c r="F151" s="27" t="e">
        <f>#REF!</f>
        <v>#REF!</v>
      </c>
      <c r="G151" s="27" t="e">
        <f>#REF!</f>
        <v>#REF!</v>
      </c>
      <c r="H151" s="27"/>
      <c r="I151" s="27" t="e">
        <f>#REF!</f>
        <v>#REF!</v>
      </c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</row>
    <row r="152" spans="1:177" s="1" customFormat="1" ht="16.5" hidden="1" thickBot="1">
      <c r="A152" s="22"/>
      <c r="B152" s="25" t="s">
        <v>27</v>
      </c>
      <c r="C152" s="27" t="e">
        <f>C115+#REF!+#REF!+#REF!+#REF!+#REF!+#REF!</f>
        <v>#REF!</v>
      </c>
      <c r="D152" s="27" t="e">
        <f>D115+#REF!+#REF!+#REF!+#REF!+#REF!+#REF!</f>
        <v>#REF!</v>
      </c>
      <c r="E152" s="27" t="e">
        <f>E115+#REF!+#REF!+#REF!+#REF!+#REF!+#REF!</f>
        <v>#REF!</v>
      </c>
      <c r="F152" s="27" t="e">
        <f>F115+#REF!+#REF!+#REF!+#REF!+#REF!+#REF!</f>
        <v>#REF!</v>
      </c>
      <c r="G152" s="27" t="e">
        <f>G115+#REF!+#REF!+#REF!+#REF!+#REF!+#REF!</f>
        <v>#REF!</v>
      </c>
      <c r="H152" s="27"/>
      <c r="I152" s="27" t="e">
        <f>I115+#REF!+#REF!+#REF!+#REF!+#REF!+#REF!</f>
        <v>#REF!</v>
      </c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</row>
    <row r="153" spans="1:177" s="1" customFormat="1" ht="16.5" hidden="1" thickBot="1">
      <c r="A153" s="22"/>
      <c r="B153" s="25" t="s">
        <v>33</v>
      </c>
      <c r="C153" s="27" t="e">
        <f>#REF!</f>
        <v>#REF!</v>
      </c>
      <c r="D153" s="27" t="e">
        <f>#REF!</f>
        <v>#REF!</v>
      </c>
      <c r="E153" s="27" t="e">
        <f>#REF!</f>
        <v>#REF!</v>
      </c>
      <c r="F153" s="27" t="e">
        <f>#REF!</f>
        <v>#REF!</v>
      </c>
      <c r="G153" s="27" t="e">
        <f>#REF!</f>
        <v>#REF!</v>
      </c>
      <c r="H153" s="27"/>
      <c r="I153" s="27" t="e">
        <f>#REF!</f>
        <v>#REF!</v>
      </c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</row>
    <row r="154" spans="1:177" s="1" customFormat="1" ht="16.5" hidden="1" thickBot="1">
      <c r="A154" s="22"/>
      <c r="B154" s="25" t="s">
        <v>28</v>
      </c>
      <c r="C154" s="27" t="e">
        <f>#REF!+#REF!</f>
        <v>#REF!</v>
      </c>
      <c r="D154" s="27" t="e">
        <f>#REF!+#REF!</f>
        <v>#REF!</v>
      </c>
      <c r="E154" s="27" t="e">
        <f>#REF!+#REF!</f>
        <v>#REF!</v>
      </c>
      <c r="F154" s="27" t="e">
        <f>#REF!+#REF!</f>
        <v>#REF!</v>
      </c>
      <c r="G154" s="27" t="e">
        <f>#REF!+#REF!</f>
        <v>#REF!</v>
      </c>
      <c r="H154" s="27"/>
      <c r="I154" s="27" t="e">
        <f>#REF!+#REF!</f>
        <v>#REF!</v>
      </c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</row>
    <row r="155" spans="1:177" s="1" customFormat="1" ht="16.5" hidden="1" thickBot="1">
      <c r="A155" s="22"/>
      <c r="B155" s="25" t="s">
        <v>29</v>
      </c>
      <c r="C155" s="27" t="e">
        <f>#REF!+#REF!</f>
        <v>#REF!</v>
      </c>
      <c r="D155" s="27" t="e">
        <f>#REF!+#REF!</f>
        <v>#REF!</v>
      </c>
      <c r="E155" s="27" t="e">
        <f>#REF!+#REF!</f>
        <v>#REF!</v>
      </c>
      <c r="F155" s="27" t="e">
        <f>#REF!+#REF!</f>
        <v>#REF!</v>
      </c>
      <c r="G155" s="27" t="e">
        <f>#REF!+#REF!</f>
        <v>#REF!</v>
      </c>
      <c r="H155" s="27"/>
      <c r="I155" s="27" t="e">
        <f>#REF!+#REF!</f>
        <v>#REF!</v>
      </c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  <c r="ED155" s="92"/>
      <c r="EE155" s="92"/>
      <c r="EF155" s="92"/>
      <c r="EG155" s="92"/>
      <c r="EH155" s="92"/>
      <c r="EI155" s="92"/>
      <c r="EJ155" s="92"/>
      <c r="EK155" s="92"/>
      <c r="EL155" s="92"/>
      <c r="EM155" s="92"/>
      <c r="EN155" s="92"/>
      <c r="EO155" s="92"/>
      <c r="EP155" s="92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92"/>
      <c r="FO155" s="92"/>
      <c r="FP155" s="92"/>
      <c r="FQ155" s="92"/>
      <c r="FR155" s="92"/>
      <c r="FS155" s="92"/>
      <c r="FT155" s="92"/>
      <c r="FU155" s="92"/>
    </row>
    <row r="156" spans="1:177" s="1" customFormat="1" ht="16.5" hidden="1" thickBot="1">
      <c r="A156" s="22"/>
      <c r="B156" s="25" t="s">
        <v>30</v>
      </c>
      <c r="C156" s="27" t="e">
        <f>C154+C155</f>
        <v>#REF!</v>
      </c>
      <c r="D156" s="27" t="e">
        <f aca="true" t="shared" si="23" ref="D156:I156">D154+D155</f>
        <v>#REF!</v>
      </c>
      <c r="E156" s="27" t="e">
        <f t="shared" si="23"/>
        <v>#REF!</v>
      </c>
      <c r="F156" s="27" t="e">
        <f t="shared" si="23"/>
        <v>#REF!</v>
      </c>
      <c r="G156" s="27" t="e">
        <f t="shared" si="23"/>
        <v>#REF!</v>
      </c>
      <c r="H156" s="27"/>
      <c r="I156" s="27" t="e">
        <f t="shared" si="23"/>
        <v>#REF!</v>
      </c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</row>
    <row r="157" spans="1:177" s="1" customFormat="1" ht="16.5" hidden="1" thickBot="1">
      <c r="A157" s="22"/>
      <c r="B157" s="25" t="s">
        <v>31</v>
      </c>
      <c r="C157" s="27" t="e">
        <f>((C8+#REF!)-(C141)-((#REF!+#REF!)-C156))</f>
        <v>#REF!</v>
      </c>
      <c r="D157" s="27" t="e">
        <f>((D8+#REF!)-(D141)-((#REF!+#REF!)-D156))</f>
        <v>#REF!</v>
      </c>
      <c r="E157" s="27" t="e">
        <f>((E8+#REF!)-(E141)-((#REF!+#REF!)-E156))</f>
        <v>#REF!</v>
      </c>
      <c r="F157" s="27" t="e">
        <f>((F8+#REF!)-(F141)-((#REF!+#REF!)-F156))</f>
        <v>#REF!</v>
      </c>
      <c r="G157" s="27" t="e">
        <f>((G8+#REF!)-(G141)-((#REF!+#REF!)-G156))</f>
        <v>#REF!</v>
      </c>
      <c r="H157" s="27"/>
      <c r="I157" s="27" t="e">
        <f>((I8+#REF!)-(I141)-((#REF!+#REF!)-I156))</f>
        <v>#REF!</v>
      </c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  <c r="DT157" s="92"/>
      <c r="DU157" s="92"/>
      <c r="DV157" s="92"/>
      <c r="DW157" s="92"/>
      <c r="DX157" s="92"/>
      <c r="DY157" s="92"/>
      <c r="DZ157" s="92"/>
      <c r="EA157" s="92"/>
      <c r="EB157" s="92"/>
      <c r="EC157" s="92"/>
      <c r="ED157" s="92"/>
      <c r="EE157" s="92"/>
      <c r="EF157" s="92"/>
      <c r="EG157" s="92"/>
      <c r="EH157" s="92"/>
      <c r="EI157" s="92"/>
      <c r="EJ157" s="92"/>
      <c r="EK157" s="92"/>
      <c r="EL157" s="92"/>
      <c r="EM157" s="92"/>
      <c r="EN157" s="92"/>
      <c r="EO157" s="92"/>
      <c r="EP157" s="92"/>
      <c r="EQ157" s="92"/>
      <c r="ER157" s="92"/>
      <c r="ES157" s="92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  <c r="FJ157" s="92"/>
      <c r="FK157" s="92"/>
      <c r="FL157" s="92"/>
      <c r="FM157" s="92"/>
      <c r="FN157" s="92"/>
      <c r="FO157" s="92"/>
      <c r="FP157" s="92"/>
      <c r="FQ157" s="92"/>
      <c r="FR157" s="92"/>
      <c r="FS157" s="92"/>
      <c r="FT157" s="92"/>
      <c r="FU157" s="92"/>
    </row>
    <row r="158" spans="1:177" s="1" customFormat="1" ht="16.5" hidden="1" thickBot="1">
      <c r="A158" s="22"/>
      <c r="B158" s="28" t="s">
        <v>32</v>
      </c>
      <c r="C158" s="29" t="e">
        <f>-(C157-(C154-C19-C20-C21-#REF!))</f>
        <v>#REF!</v>
      </c>
      <c r="D158" s="29" t="e">
        <f>-(D157-(D154-D19-D20-D21-#REF!))</f>
        <v>#REF!</v>
      </c>
      <c r="E158" s="29" t="e">
        <f>-(E157-(E154-E19-E20-E21-#REF!))</f>
        <v>#REF!</v>
      </c>
      <c r="F158" s="29" t="e">
        <f>-(F157-(F154-F19-F20-F21-#REF!))</f>
        <v>#REF!</v>
      </c>
      <c r="G158" s="29" t="e">
        <f>-(G157-(G154-G19-G20-G21-#REF!))</f>
        <v>#REF!</v>
      </c>
      <c r="H158" s="29"/>
      <c r="I158" s="29" t="e">
        <f>-(I157-(I154-I19-I20-I21-#REF!))</f>
        <v>#REF!</v>
      </c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2"/>
      <c r="DI158" s="92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  <c r="DT158" s="92"/>
      <c r="DU158" s="92"/>
      <c r="DV158" s="92"/>
      <c r="DW158" s="92"/>
      <c r="DX158" s="92"/>
      <c r="DY158" s="92"/>
      <c r="DZ158" s="92"/>
      <c r="EA158" s="92"/>
      <c r="EB158" s="92"/>
      <c r="EC158" s="92"/>
      <c r="ED158" s="92"/>
      <c r="EE158" s="92"/>
      <c r="EF158" s="92"/>
      <c r="EG158" s="92"/>
      <c r="EH158" s="92"/>
      <c r="EI158" s="92"/>
      <c r="EJ158" s="92"/>
      <c r="EK158" s="92"/>
      <c r="EL158" s="92"/>
      <c r="EM158" s="92"/>
      <c r="EN158" s="92"/>
      <c r="EO158" s="92"/>
      <c r="EP158" s="92"/>
      <c r="EQ158" s="92"/>
      <c r="ER158" s="92"/>
      <c r="ES158" s="92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  <c r="FM158" s="92"/>
      <c r="FN158" s="92"/>
      <c r="FO158" s="92"/>
      <c r="FP158" s="92"/>
      <c r="FQ158" s="92"/>
      <c r="FR158" s="92"/>
      <c r="FS158" s="92"/>
      <c r="FT158" s="92"/>
      <c r="FU158" s="92"/>
    </row>
    <row r="159" spans="1:177" s="1" customFormat="1" ht="16.5" thickTop="1">
      <c r="A159" s="22"/>
      <c r="B159" s="30"/>
      <c r="C159" s="30"/>
      <c r="D159" s="30"/>
      <c r="E159" s="30"/>
      <c r="F159" s="30"/>
      <c r="G159" s="30"/>
      <c r="H159" s="30"/>
      <c r="I159" s="30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  <c r="CZ159" s="92"/>
      <c r="DA159" s="92"/>
      <c r="DB159" s="92"/>
      <c r="DC159" s="92"/>
      <c r="DD159" s="92"/>
      <c r="DE159" s="92"/>
      <c r="DF159" s="92"/>
      <c r="DG159" s="92"/>
      <c r="DH159" s="92"/>
      <c r="DI159" s="92"/>
      <c r="DJ159" s="92"/>
      <c r="DK159" s="92"/>
      <c r="DL159" s="92"/>
      <c r="DM159" s="92"/>
      <c r="DN159" s="92"/>
      <c r="DO159" s="92"/>
      <c r="DP159" s="92"/>
      <c r="DQ159" s="92"/>
      <c r="DR159" s="92"/>
      <c r="DS159" s="92"/>
      <c r="DT159" s="92"/>
      <c r="DU159" s="92"/>
      <c r="DV159" s="92"/>
      <c r="DW159" s="92"/>
      <c r="DX159" s="92"/>
      <c r="DY159" s="92"/>
      <c r="DZ159" s="92"/>
      <c r="EA159" s="92"/>
      <c r="EB159" s="92"/>
      <c r="EC159" s="92"/>
      <c r="ED159" s="92"/>
      <c r="EE159" s="92"/>
      <c r="EF159" s="92"/>
      <c r="EG159" s="92"/>
      <c r="EH159" s="92"/>
      <c r="EI159" s="92"/>
      <c r="EJ159" s="92"/>
      <c r="EK159" s="92"/>
      <c r="EL159" s="92"/>
      <c r="EM159" s="92"/>
      <c r="EN159" s="92"/>
      <c r="EO159" s="92"/>
      <c r="EP159" s="92"/>
      <c r="EQ159" s="92"/>
      <c r="ER159" s="92"/>
      <c r="ES159" s="92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</row>
    <row r="160" spans="2:177" s="1" customFormat="1" ht="15.75">
      <c r="B160" s="5"/>
      <c r="C160" s="5"/>
      <c r="D160" s="5"/>
      <c r="E160" s="5"/>
      <c r="F160" s="5"/>
      <c r="G160" s="5"/>
      <c r="H160" s="5"/>
      <c r="I160" s="5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2"/>
      <c r="DX160" s="92"/>
      <c r="DY160" s="92"/>
      <c r="DZ160" s="92"/>
      <c r="EA160" s="92"/>
      <c r="EB160" s="92"/>
      <c r="EC160" s="92"/>
      <c r="ED160" s="92"/>
      <c r="EE160" s="92"/>
      <c r="EF160" s="92"/>
      <c r="EG160" s="92"/>
      <c r="EH160" s="92"/>
      <c r="EI160" s="92"/>
      <c r="EJ160" s="92"/>
      <c r="EK160" s="92"/>
      <c r="EL160" s="92"/>
      <c r="EM160" s="92"/>
      <c r="EN160" s="92"/>
      <c r="EO160" s="92"/>
      <c r="EP160" s="92"/>
      <c r="EQ160" s="92"/>
      <c r="ER160" s="9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</row>
    <row r="161" spans="2:177" s="1" customFormat="1" ht="15.75">
      <c r="B161" s="5"/>
      <c r="C161" s="5"/>
      <c r="D161" s="5"/>
      <c r="E161" s="5"/>
      <c r="F161" s="5"/>
      <c r="G161" s="5"/>
      <c r="H161" s="5"/>
      <c r="I161" s="5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</row>
    <row r="162" spans="2:177" s="1" customFormat="1" ht="15.75">
      <c r="B162" s="5"/>
      <c r="C162" s="5"/>
      <c r="D162" s="5"/>
      <c r="E162" s="5"/>
      <c r="F162" s="5"/>
      <c r="G162" s="5"/>
      <c r="H162" s="5"/>
      <c r="I162" s="5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  <c r="DP162" s="92"/>
      <c r="DQ162" s="92"/>
      <c r="DR162" s="92"/>
      <c r="DS162" s="92"/>
      <c r="DT162" s="92"/>
      <c r="DU162" s="92"/>
      <c r="DV162" s="92"/>
      <c r="DW162" s="92"/>
      <c r="DX162" s="92"/>
      <c r="DY162" s="92"/>
      <c r="DZ162" s="92"/>
      <c r="EA162" s="92"/>
      <c r="EB162" s="92"/>
      <c r="EC162" s="92"/>
      <c r="ED162" s="92"/>
      <c r="EE162" s="92"/>
      <c r="EF162" s="92"/>
      <c r="EG162" s="92"/>
      <c r="EH162" s="92"/>
      <c r="EI162" s="92"/>
      <c r="EJ162" s="92"/>
      <c r="EK162" s="92"/>
      <c r="EL162" s="92"/>
      <c r="EM162" s="92"/>
      <c r="EN162" s="92"/>
      <c r="EO162" s="92"/>
      <c r="EP162" s="92"/>
      <c r="EQ162" s="92"/>
      <c r="ER162" s="92"/>
      <c r="ES162" s="92"/>
      <c r="ET162" s="92"/>
      <c r="EU162" s="92"/>
      <c r="EV162" s="92"/>
      <c r="EW162" s="92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  <c r="FM162" s="92"/>
      <c r="FN162" s="92"/>
      <c r="FO162" s="92"/>
      <c r="FP162" s="92"/>
      <c r="FQ162" s="92"/>
      <c r="FR162" s="92"/>
      <c r="FS162" s="92"/>
      <c r="FT162" s="92"/>
      <c r="FU162" s="92"/>
    </row>
    <row r="163" spans="2:177" s="1" customFormat="1" ht="15.75">
      <c r="B163" s="5"/>
      <c r="C163" s="5"/>
      <c r="D163" s="5"/>
      <c r="E163" s="5"/>
      <c r="F163" s="5"/>
      <c r="G163" s="5"/>
      <c r="H163" s="5"/>
      <c r="I163" s="5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2"/>
      <c r="DI163" s="92"/>
      <c r="DJ163" s="92"/>
      <c r="DK163" s="92"/>
      <c r="DL163" s="92"/>
      <c r="DM163" s="92"/>
      <c r="DN163" s="92"/>
      <c r="DO163" s="92"/>
      <c r="DP163" s="92"/>
      <c r="DQ163" s="92"/>
      <c r="DR163" s="92"/>
      <c r="DS163" s="92"/>
      <c r="DT163" s="92"/>
      <c r="DU163" s="92"/>
      <c r="DV163" s="92"/>
      <c r="DW163" s="92"/>
      <c r="DX163" s="92"/>
      <c r="DY163" s="92"/>
      <c r="DZ163" s="92"/>
      <c r="EA163" s="92"/>
      <c r="EB163" s="92"/>
      <c r="EC163" s="92"/>
      <c r="ED163" s="92"/>
      <c r="EE163" s="92"/>
      <c r="EF163" s="92"/>
      <c r="EG163" s="92"/>
      <c r="EH163" s="92"/>
      <c r="EI163" s="92"/>
      <c r="EJ163" s="92"/>
      <c r="EK163" s="92"/>
      <c r="EL163" s="92"/>
      <c r="EM163" s="92"/>
      <c r="EN163" s="92"/>
      <c r="EO163" s="92"/>
      <c r="EP163" s="92"/>
      <c r="EQ163" s="92"/>
      <c r="ER163" s="92"/>
      <c r="ES163" s="92"/>
      <c r="ET163" s="92"/>
      <c r="EU163" s="92"/>
      <c r="EV163" s="92"/>
      <c r="EW163" s="92"/>
      <c r="EX163" s="92"/>
      <c r="EY163" s="92"/>
      <c r="EZ163" s="92"/>
      <c r="FA163" s="92"/>
      <c r="FB163" s="92"/>
      <c r="FC163" s="92"/>
      <c r="FD163" s="92"/>
      <c r="FE163" s="92"/>
      <c r="FF163" s="92"/>
      <c r="FG163" s="92"/>
      <c r="FH163" s="92"/>
      <c r="FI163" s="92"/>
      <c r="FJ163" s="92"/>
      <c r="FK163" s="92"/>
      <c r="FL163" s="92"/>
      <c r="FM163" s="92"/>
      <c r="FN163" s="92"/>
      <c r="FO163" s="92"/>
      <c r="FP163" s="92"/>
      <c r="FQ163" s="92"/>
      <c r="FR163" s="92"/>
      <c r="FS163" s="92"/>
      <c r="FT163" s="92"/>
      <c r="FU163" s="92"/>
    </row>
    <row r="164" spans="2:177" s="1" customFormat="1" ht="15.75">
      <c r="B164" s="2"/>
      <c r="C164" s="5"/>
      <c r="D164" s="5"/>
      <c r="E164" s="5"/>
      <c r="F164" s="5"/>
      <c r="G164" s="5"/>
      <c r="H164" s="5"/>
      <c r="I164" s="5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/>
      <c r="DK164" s="92"/>
      <c r="DL164" s="92"/>
      <c r="DM164" s="92"/>
      <c r="DN164" s="92"/>
      <c r="DO164" s="92"/>
      <c r="DP164" s="92"/>
      <c r="DQ164" s="92"/>
      <c r="DR164" s="92"/>
      <c r="DS164" s="92"/>
      <c r="DT164" s="92"/>
      <c r="DU164" s="92"/>
      <c r="DV164" s="92"/>
      <c r="DW164" s="92"/>
      <c r="DX164" s="92"/>
      <c r="DY164" s="92"/>
      <c r="DZ164" s="92"/>
      <c r="EA164" s="92"/>
      <c r="EB164" s="92"/>
      <c r="EC164" s="92"/>
      <c r="ED164" s="92"/>
      <c r="EE164" s="92"/>
      <c r="EF164" s="92"/>
      <c r="EG164" s="92"/>
      <c r="EH164" s="92"/>
      <c r="EI164" s="92"/>
      <c r="EJ164" s="92"/>
      <c r="EK164" s="92"/>
      <c r="EL164" s="92"/>
      <c r="EM164" s="92"/>
      <c r="EN164" s="92"/>
      <c r="EO164" s="92"/>
      <c r="EP164" s="92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  <c r="FM164" s="92"/>
      <c r="FN164" s="92"/>
      <c r="FO164" s="92"/>
      <c r="FP164" s="92"/>
      <c r="FQ164" s="92"/>
      <c r="FR164" s="92"/>
      <c r="FS164" s="92"/>
      <c r="FT164" s="92"/>
      <c r="FU164" s="92"/>
    </row>
    <row r="165" spans="2:177" s="1" customFormat="1" ht="15.75">
      <c r="B165" s="5"/>
      <c r="C165" s="5"/>
      <c r="D165" s="5"/>
      <c r="E165" s="5"/>
      <c r="F165" s="5"/>
      <c r="G165" s="5"/>
      <c r="H165" s="5"/>
      <c r="I165" s="5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92"/>
      <c r="DX165" s="92"/>
      <c r="DY165" s="92"/>
      <c r="DZ165" s="92"/>
      <c r="EA165" s="92"/>
      <c r="EB165" s="92"/>
      <c r="EC165" s="92"/>
      <c r="ED165" s="92"/>
      <c r="EE165" s="92"/>
      <c r="EF165" s="92"/>
      <c r="EG165" s="92"/>
      <c r="EH165" s="92"/>
      <c r="EI165" s="92"/>
      <c r="EJ165" s="92"/>
      <c r="EK165" s="92"/>
      <c r="EL165" s="92"/>
      <c r="EM165" s="92"/>
      <c r="EN165" s="92"/>
      <c r="EO165" s="92"/>
      <c r="EP165" s="92"/>
      <c r="EQ165" s="92"/>
      <c r="ER165" s="92"/>
      <c r="ES165" s="92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  <c r="FM165" s="92"/>
      <c r="FN165" s="92"/>
      <c r="FO165" s="92"/>
      <c r="FP165" s="92"/>
      <c r="FQ165" s="92"/>
      <c r="FR165" s="92"/>
      <c r="FS165" s="92"/>
      <c r="FT165" s="92"/>
      <c r="FU165" s="92"/>
    </row>
    <row r="166" spans="2:177" s="1" customFormat="1" ht="15.75">
      <c r="B166" s="5"/>
      <c r="C166" s="5"/>
      <c r="D166" s="5"/>
      <c r="E166" s="5"/>
      <c r="F166" s="5"/>
      <c r="G166" s="5"/>
      <c r="H166" s="5"/>
      <c r="I166" s="5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92"/>
      <c r="ER166" s="9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  <c r="FH166" s="92"/>
      <c r="FI166" s="92"/>
      <c r="FJ166" s="92"/>
      <c r="FK166" s="92"/>
      <c r="FL166" s="92"/>
      <c r="FM166" s="92"/>
      <c r="FN166" s="92"/>
      <c r="FO166" s="92"/>
      <c r="FP166" s="92"/>
      <c r="FQ166" s="92"/>
      <c r="FR166" s="92"/>
      <c r="FS166" s="92"/>
      <c r="FT166" s="92"/>
      <c r="FU166" s="92"/>
    </row>
    <row r="167" spans="2:177" s="1" customFormat="1" ht="15.75">
      <c r="B167" s="5"/>
      <c r="C167" s="5"/>
      <c r="D167" s="5"/>
      <c r="E167" s="5"/>
      <c r="F167" s="5"/>
      <c r="G167" s="5"/>
      <c r="H167" s="5"/>
      <c r="I167" s="5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92"/>
      <c r="DL167" s="92"/>
      <c r="DM167" s="92"/>
      <c r="DN167" s="92"/>
      <c r="DO167" s="92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  <c r="EE167" s="92"/>
      <c r="EF167" s="92"/>
      <c r="EG167" s="92"/>
      <c r="EH167" s="92"/>
      <c r="EI167" s="92"/>
      <c r="EJ167" s="92"/>
      <c r="EK167" s="92"/>
      <c r="EL167" s="92"/>
      <c r="EM167" s="92"/>
      <c r="EN167" s="92"/>
      <c r="EO167" s="92"/>
      <c r="EP167" s="92"/>
      <c r="EQ167" s="92"/>
      <c r="ER167" s="92"/>
      <c r="ES167" s="92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  <c r="FF167" s="92"/>
      <c r="FG167" s="92"/>
      <c r="FH167" s="92"/>
      <c r="FI167" s="92"/>
      <c r="FJ167" s="92"/>
      <c r="FK167" s="92"/>
      <c r="FL167" s="92"/>
      <c r="FM167" s="92"/>
      <c r="FN167" s="92"/>
      <c r="FO167" s="92"/>
      <c r="FP167" s="92"/>
      <c r="FQ167" s="92"/>
      <c r="FR167" s="92"/>
      <c r="FS167" s="92"/>
      <c r="FT167" s="92"/>
      <c r="FU167" s="92"/>
    </row>
    <row r="168" spans="2:177" s="1" customFormat="1" ht="15.75">
      <c r="B168" s="5"/>
      <c r="C168" s="5"/>
      <c r="D168" s="5"/>
      <c r="E168" s="5"/>
      <c r="F168" s="5"/>
      <c r="G168" s="5"/>
      <c r="H168" s="5"/>
      <c r="I168" s="5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2"/>
      <c r="DE168" s="92"/>
      <c r="DF168" s="92"/>
      <c r="DG168" s="92"/>
      <c r="DH168" s="92"/>
      <c r="DI168" s="92"/>
      <c r="DJ168" s="92"/>
      <c r="DK168" s="92"/>
      <c r="DL168" s="92"/>
      <c r="DM168" s="92"/>
      <c r="DN168" s="92"/>
      <c r="DO168" s="92"/>
      <c r="DP168" s="92"/>
      <c r="DQ168" s="92"/>
      <c r="DR168" s="92"/>
      <c r="DS168" s="92"/>
      <c r="DT168" s="92"/>
      <c r="DU168" s="92"/>
      <c r="DV168" s="92"/>
      <c r="DW168" s="92"/>
      <c r="DX168" s="92"/>
      <c r="DY168" s="92"/>
      <c r="DZ168" s="92"/>
      <c r="EA168" s="92"/>
      <c r="EB168" s="92"/>
      <c r="EC168" s="92"/>
      <c r="ED168" s="92"/>
      <c r="EE168" s="92"/>
      <c r="EF168" s="92"/>
      <c r="EG168" s="92"/>
      <c r="EH168" s="92"/>
      <c r="EI168" s="92"/>
      <c r="EJ168" s="92"/>
      <c r="EK168" s="92"/>
      <c r="EL168" s="92"/>
      <c r="EM168" s="92"/>
      <c r="EN168" s="92"/>
      <c r="EO168" s="92"/>
      <c r="EP168" s="92"/>
      <c r="EQ168" s="92"/>
      <c r="ER168" s="92"/>
      <c r="ES168" s="92"/>
      <c r="ET168" s="92"/>
      <c r="EU168" s="92"/>
      <c r="EV168" s="92"/>
      <c r="EW168" s="92"/>
      <c r="EX168" s="92"/>
      <c r="EY168" s="92"/>
      <c r="EZ168" s="92"/>
      <c r="FA168" s="92"/>
      <c r="FB168" s="92"/>
      <c r="FC168" s="92"/>
      <c r="FD168" s="92"/>
      <c r="FE168" s="92"/>
      <c r="FF168" s="92"/>
      <c r="FG168" s="92"/>
      <c r="FH168" s="92"/>
      <c r="FI168" s="92"/>
      <c r="FJ168" s="92"/>
      <c r="FK168" s="92"/>
      <c r="FL168" s="92"/>
      <c r="FM168" s="92"/>
      <c r="FN168" s="92"/>
      <c r="FO168" s="92"/>
      <c r="FP168" s="92"/>
      <c r="FQ168" s="92"/>
      <c r="FR168" s="92"/>
      <c r="FS168" s="92"/>
      <c r="FT168" s="92"/>
      <c r="FU168" s="92"/>
    </row>
    <row r="169" spans="2:177" s="1" customFormat="1" ht="15.75">
      <c r="B169" s="5"/>
      <c r="C169" s="5"/>
      <c r="D169" s="5"/>
      <c r="E169" s="5"/>
      <c r="F169" s="5"/>
      <c r="G169" s="5"/>
      <c r="H169" s="5"/>
      <c r="I169" s="5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2"/>
      <c r="DC169" s="92"/>
      <c r="DD169" s="92"/>
      <c r="DE169" s="92"/>
      <c r="DF169" s="92"/>
      <c r="DG169" s="92"/>
      <c r="DH169" s="92"/>
      <c r="DI169" s="92"/>
      <c r="DJ169" s="92"/>
      <c r="DK169" s="92"/>
      <c r="DL169" s="92"/>
      <c r="DM169" s="92"/>
      <c r="DN169" s="92"/>
      <c r="DO169" s="92"/>
      <c r="DP169" s="92"/>
      <c r="DQ169" s="92"/>
      <c r="DR169" s="92"/>
      <c r="DS169" s="92"/>
      <c r="DT169" s="92"/>
      <c r="DU169" s="92"/>
      <c r="DV169" s="92"/>
      <c r="DW169" s="92"/>
      <c r="DX169" s="92"/>
      <c r="DY169" s="92"/>
      <c r="DZ169" s="92"/>
      <c r="EA169" s="92"/>
      <c r="EB169" s="92"/>
      <c r="EC169" s="92"/>
      <c r="ED169" s="92"/>
      <c r="EE169" s="92"/>
      <c r="EF169" s="92"/>
      <c r="EG169" s="92"/>
      <c r="EH169" s="92"/>
      <c r="EI169" s="92"/>
      <c r="EJ169" s="92"/>
      <c r="EK169" s="92"/>
      <c r="EL169" s="92"/>
      <c r="EM169" s="92"/>
      <c r="EN169" s="92"/>
      <c r="EO169" s="92"/>
      <c r="EP169" s="92"/>
      <c r="EQ169" s="92"/>
      <c r="ER169" s="92"/>
      <c r="ES169" s="92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  <c r="FF169" s="92"/>
      <c r="FG169" s="92"/>
      <c r="FH169" s="92"/>
      <c r="FI169" s="92"/>
      <c r="FJ169" s="92"/>
      <c r="FK169" s="92"/>
      <c r="FL169" s="92"/>
      <c r="FM169" s="92"/>
      <c r="FN169" s="92"/>
      <c r="FO169" s="92"/>
      <c r="FP169" s="92"/>
      <c r="FQ169" s="92"/>
      <c r="FR169" s="92"/>
      <c r="FS169" s="92"/>
      <c r="FT169" s="92"/>
      <c r="FU169" s="92"/>
    </row>
    <row r="170" spans="2:177" s="1" customFormat="1" ht="15.75">
      <c r="B170" s="5"/>
      <c r="C170" s="5"/>
      <c r="D170" s="5"/>
      <c r="E170" s="5"/>
      <c r="F170" s="5"/>
      <c r="G170" s="5"/>
      <c r="H170" s="5"/>
      <c r="I170" s="5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  <c r="EE170" s="92"/>
      <c r="EF170" s="92"/>
      <c r="EG170" s="92"/>
      <c r="EH170" s="92"/>
      <c r="EI170" s="92"/>
      <c r="EJ170" s="92"/>
      <c r="EK170" s="92"/>
      <c r="EL170" s="92"/>
      <c r="EM170" s="92"/>
      <c r="EN170" s="92"/>
      <c r="EO170" s="92"/>
      <c r="EP170" s="92"/>
      <c r="EQ170" s="92"/>
      <c r="ER170" s="92"/>
      <c r="ES170" s="92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  <c r="FH170" s="92"/>
      <c r="FI170" s="92"/>
      <c r="FJ170" s="92"/>
      <c r="FK170" s="92"/>
      <c r="FL170" s="92"/>
      <c r="FM170" s="92"/>
      <c r="FN170" s="92"/>
      <c r="FO170" s="92"/>
      <c r="FP170" s="92"/>
      <c r="FQ170" s="92"/>
      <c r="FR170" s="92"/>
      <c r="FS170" s="92"/>
      <c r="FT170" s="92"/>
      <c r="FU170" s="92"/>
    </row>
    <row r="171" spans="2:177" s="1" customFormat="1" ht="18.75" customHeight="1">
      <c r="B171" s="5"/>
      <c r="C171" s="5"/>
      <c r="D171" s="5"/>
      <c r="E171" s="5"/>
      <c r="F171" s="5"/>
      <c r="G171" s="5"/>
      <c r="H171" s="5"/>
      <c r="I171" s="5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92"/>
      <c r="DM171" s="92"/>
      <c r="DN171" s="92"/>
      <c r="DO171" s="92"/>
      <c r="DP171" s="92"/>
      <c r="DQ171" s="92"/>
      <c r="DR171" s="92"/>
      <c r="DS171" s="92"/>
      <c r="DT171" s="92"/>
      <c r="DU171" s="92"/>
      <c r="DV171" s="92"/>
      <c r="DW171" s="92"/>
      <c r="DX171" s="92"/>
      <c r="DY171" s="92"/>
      <c r="DZ171" s="92"/>
      <c r="EA171" s="92"/>
      <c r="EB171" s="92"/>
      <c r="EC171" s="92"/>
      <c r="ED171" s="92"/>
      <c r="EE171" s="92"/>
      <c r="EF171" s="92"/>
      <c r="EG171" s="92"/>
      <c r="EH171" s="92"/>
      <c r="EI171" s="92"/>
      <c r="EJ171" s="92"/>
      <c r="EK171" s="92"/>
      <c r="EL171" s="92"/>
      <c r="EM171" s="92"/>
      <c r="EN171" s="92"/>
      <c r="EO171" s="92"/>
      <c r="EP171" s="92"/>
      <c r="EQ171" s="92"/>
      <c r="ER171" s="9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</row>
    <row r="172" spans="2:177" s="2" customFormat="1" ht="15.75">
      <c r="B172" s="5"/>
      <c r="C172" s="5"/>
      <c r="D172" s="5"/>
      <c r="E172" s="5"/>
      <c r="F172" s="5"/>
      <c r="G172" s="5"/>
      <c r="H172" s="5"/>
      <c r="I172" s="5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</row>
    <row r="173" spans="2:177" s="1" customFormat="1" ht="15.75">
      <c r="B173" s="5"/>
      <c r="C173" s="5"/>
      <c r="D173" s="5"/>
      <c r="E173" s="5"/>
      <c r="F173" s="5"/>
      <c r="G173" s="5"/>
      <c r="H173" s="5"/>
      <c r="I173" s="5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2"/>
      <c r="DE173" s="92"/>
      <c r="DF173" s="92"/>
      <c r="DG173" s="92"/>
      <c r="DH173" s="92"/>
      <c r="DI173" s="92"/>
      <c r="DJ173" s="92"/>
      <c r="DK173" s="92"/>
      <c r="DL173" s="92"/>
      <c r="DM173" s="92"/>
      <c r="DN173" s="92"/>
      <c r="DO173" s="92"/>
      <c r="DP173" s="92"/>
      <c r="DQ173" s="92"/>
      <c r="DR173" s="92"/>
      <c r="DS173" s="92"/>
      <c r="DT173" s="92"/>
      <c r="DU173" s="92"/>
      <c r="DV173" s="92"/>
      <c r="DW173" s="92"/>
      <c r="DX173" s="92"/>
      <c r="DY173" s="92"/>
      <c r="DZ173" s="92"/>
      <c r="EA173" s="92"/>
      <c r="EB173" s="92"/>
      <c r="EC173" s="92"/>
      <c r="ED173" s="92"/>
      <c r="EE173" s="92"/>
      <c r="EF173" s="92"/>
      <c r="EG173" s="92"/>
      <c r="EH173" s="92"/>
      <c r="EI173" s="92"/>
      <c r="EJ173" s="92"/>
      <c r="EK173" s="92"/>
      <c r="EL173" s="92"/>
      <c r="EM173" s="92"/>
      <c r="EN173" s="92"/>
      <c r="EO173" s="92"/>
      <c r="EP173" s="92"/>
      <c r="EQ173" s="92"/>
      <c r="ER173" s="92"/>
      <c r="ES173" s="92"/>
      <c r="ET173" s="92"/>
      <c r="EU173" s="92"/>
      <c r="EV173" s="92"/>
      <c r="EW173" s="92"/>
      <c r="EX173" s="92"/>
      <c r="EY173" s="92"/>
      <c r="EZ173" s="92"/>
      <c r="FA173" s="92"/>
      <c r="FB173" s="92"/>
      <c r="FC173" s="92"/>
      <c r="FD173" s="92"/>
      <c r="FE173" s="92"/>
      <c r="FF173" s="92"/>
      <c r="FG173" s="92"/>
      <c r="FH173" s="92"/>
      <c r="FI173" s="92"/>
      <c r="FJ173" s="92"/>
      <c r="FK173" s="92"/>
      <c r="FL173" s="92"/>
      <c r="FM173" s="92"/>
      <c r="FN173" s="92"/>
      <c r="FO173" s="92"/>
      <c r="FP173" s="92"/>
      <c r="FQ173" s="92"/>
      <c r="FR173" s="92"/>
      <c r="FS173" s="92"/>
      <c r="FT173" s="92"/>
      <c r="FU173" s="92"/>
    </row>
    <row r="174" spans="2:177" s="1" customFormat="1" ht="15.75">
      <c r="B174" s="5"/>
      <c r="C174" s="5"/>
      <c r="D174" s="5"/>
      <c r="E174" s="5"/>
      <c r="F174" s="5"/>
      <c r="G174" s="5"/>
      <c r="H174" s="5"/>
      <c r="I174" s="5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92"/>
      <c r="DL174" s="92"/>
      <c r="DM174" s="92"/>
      <c r="DN174" s="92"/>
      <c r="DO174" s="92"/>
      <c r="DP174" s="92"/>
      <c r="DQ174" s="92"/>
      <c r="DR174" s="92"/>
      <c r="DS174" s="92"/>
      <c r="DT174" s="92"/>
      <c r="DU174" s="92"/>
      <c r="DV174" s="92"/>
      <c r="DW174" s="92"/>
      <c r="DX174" s="92"/>
      <c r="DY174" s="92"/>
      <c r="DZ174" s="92"/>
      <c r="EA174" s="92"/>
      <c r="EB174" s="92"/>
      <c r="EC174" s="92"/>
      <c r="ED174" s="92"/>
      <c r="EE174" s="92"/>
      <c r="EF174" s="92"/>
      <c r="EG174" s="92"/>
      <c r="EH174" s="92"/>
      <c r="EI174" s="92"/>
      <c r="EJ174" s="92"/>
      <c r="EK174" s="92"/>
      <c r="EL174" s="92"/>
      <c r="EM174" s="92"/>
      <c r="EN174" s="92"/>
      <c r="EO174" s="92"/>
      <c r="EP174" s="92"/>
      <c r="EQ174" s="92"/>
      <c r="ER174" s="92"/>
      <c r="ES174" s="92"/>
      <c r="ET174" s="92"/>
      <c r="EU174" s="92"/>
      <c r="EV174" s="92"/>
      <c r="EW174" s="92"/>
      <c r="EX174" s="92"/>
      <c r="EY174" s="92"/>
      <c r="EZ174" s="92"/>
      <c r="FA174" s="92"/>
      <c r="FB174" s="92"/>
      <c r="FC174" s="92"/>
      <c r="FD174" s="92"/>
      <c r="FE174" s="92"/>
      <c r="FF174" s="92"/>
      <c r="FG174" s="92"/>
      <c r="FH174" s="92"/>
      <c r="FI174" s="92"/>
      <c r="FJ174" s="92"/>
      <c r="FK174" s="92"/>
      <c r="FL174" s="92"/>
      <c r="FM174" s="92"/>
      <c r="FN174" s="92"/>
      <c r="FO174" s="92"/>
      <c r="FP174" s="92"/>
      <c r="FQ174" s="92"/>
      <c r="FR174" s="92"/>
      <c r="FS174" s="92"/>
      <c r="FT174" s="92"/>
      <c r="FU174" s="92"/>
    </row>
    <row r="175" spans="2:177" s="1" customFormat="1" ht="15.75">
      <c r="B175" s="5"/>
      <c r="C175" s="5"/>
      <c r="D175" s="5"/>
      <c r="E175" s="5"/>
      <c r="F175" s="5"/>
      <c r="G175" s="5"/>
      <c r="H175" s="5"/>
      <c r="I175" s="5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92"/>
      <c r="DY175" s="92"/>
      <c r="DZ175" s="92"/>
      <c r="EA175" s="92"/>
      <c r="EB175" s="92"/>
      <c r="EC175" s="92"/>
      <c r="ED175" s="92"/>
      <c r="EE175" s="92"/>
      <c r="EF175" s="92"/>
      <c r="EG175" s="92"/>
      <c r="EH175" s="92"/>
      <c r="EI175" s="92"/>
      <c r="EJ175" s="92"/>
      <c r="EK175" s="92"/>
      <c r="EL175" s="92"/>
      <c r="EM175" s="92"/>
      <c r="EN175" s="92"/>
      <c r="EO175" s="92"/>
      <c r="EP175" s="92"/>
      <c r="EQ175" s="92"/>
      <c r="ER175" s="92"/>
      <c r="ES175" s="92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  <c r="FJ175" s="92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</row>
    <row r="176" spans="2:177" s="1" customFormat="1" ht="15.75">
      <c r="B176" s="5"/>
      <c r="C176" s="5"/>
      <c r="D176" s="5"/>
      <c r="E176" s="5"/>
      <c r="F176" s="5"/>
      <c r="G176" s="5"/>
      <c r="H176" s="5"/>
      <c r="I176" s="5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  <c r="DT176" s="92"/>
      <c r="DU176" s="92"/>
      <c r="DV176" s="92"/>
      <c r="DW176" s="92"/>
      <c r="DX176" s="92"/>
      <c r="DY176" s="92"/>
      <c r="DZ176" s="92"/>
      <c r="EA176" s="92"/>
      <c r="EB176" s="92"/>
      <c r="EC176" s="92"/>
      <c r="ED176" s="92"/>
      <c r="EE176" s="92"/>
      <c r="EF176" s="92"/>
      <c r="EG176" s="92"/>
      <c r="EH176" s="92"/>
      <c r="EI176" s="92"/>
      <c r="EJ176" s="92"/>
      <c r="EK176" s="92"/>
      <c r="EL176" s="92"/>
      <c r="EM176" s="92"/>
      <c r="EN176" s="92"/>
      <c r="EO176" s="92"/>
      <c r="EP176" s="92"/>
      <c r="EQ176" s="92"/>
      <c r="ER176" s="92"/>
      <c r="ES176" s="92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  <c r="FJ176" s="92"/>
      <c r="FK176" s="92"/>
      <c r="FL176" s="92"/>
      <c r="FM176" s="92"/>
      <c r="FN176" s="92"/>
      <c r="FO176" s="92"/>
      <c r="FP176" s="92"/>
      <c r="FQ176" s="92"/>
      <c r="FR176" s="92"/>
      <c r="FS176" s="92"/>
      <c r="FT176" s="92"/>
      <c r="FU176" s="92"/>
    </row>
    <row r="177" spans="2:177" s="1" customFormat="1" ht="15.75">
      <c r="B177" s="5"/>
      <c r="C177" s="5"/>
      <c r="D177" s="5"/>
      <c r="E177" s="5"/>
      <c r="F177" s="5"/>
      <c r="G177" s="5"/>
      <c r="H177" s="5"/>
      <c r="I177" s="5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2"/>
      <c r="DD177" s="92"/>
      <c r="DE177" s="92"/>
      <c r="DF177" s="92"/>
      <c r="DG177" s="92"/>
      <c r="DH177" s="92"/>
      <c r="DI177" s="92"/>
      <c r="DJ177" s="92"/>
      <c r="DK177" s="92"/>
      <c r="DL177" s="92"/>
      <c r="DM177" s="92"/>
      <c r="DN177" s="92"/>
      <c r="DO177" s="92"/>
      <c r="DP177" s="92"/>
      <c r="DQ177" s="92"/>
      <c r="DR177" s="92"/>
      <c r="DS177" s="92"/>
      <c r="DT177" s="92"/>
      <c r="DU177" s="92"/>
      <c r="DV177" s="92"/>
      <c r="DW177" s="92"/>
      <c r="DX177" s="92"/>
      <c r="DY177" s="92"/>
      <c r="DZ177" s="92"/>
      <c r="EA177" s="92"/>
      <c r="EB177" s="92"/>
      <c r="EC177" s="92"/>
      <c r="ED177" s="92"/>
      <c r="EE177" s="92"/>
      <c r="EF177" s="92"/>
      <c r="EG177" s="92"/>
      <c r="EH177" s="92"/>
      <c r="EI177" s="92"/>
      <c r="EJ177" s="92"/>
      <c r="EK177" s="92"/>
      <c r="EL177" s="92"/>
      <c r="EM177" s="92"/>
      <c r="EN177" s="92"/>
      <c r="EO177" s="92"/>
      <c r="EP177" s="92"/>
      <c r="EQ177" s="92"/>
      <c r="ER177" s="92"/>
      <c r="ES177" s="92"/>
      <c r="ET177" s="92"/>
      <c r="EU177" s="92"/>
      <c r="EV177" s="92"/>
      <c r="EW177" s="92"/>
      <c r="EX177" s="92"/>
      <c r="EY177" s="92"/>
      <c r="EZ177" s="92"/>
      <c r="FA177" s="92"/>
      <c r="FB177" s="92"/>
      <c r="FC177" s="92"/>
      <c r="FD177" s="92"/>
      <c r="FE177" s="92"/>
      <c r="FF177" s="92"/>
      <c r="FG177" s="92"/>
      <c r="FH177" s="92"/>
      <c r="FI177" s="92"/>
      <c r="FJ177" s="92"/>
      <c r="FK177" s="92"/>
      <c r="FL177" s="92"/>
      <c r="FM177" s="92"/>
      <c r="FN177" s="92"/>
      <c r="FO177" s="92"/>
      <c r="FP177" s="92"/>
      <c r="FQ177" s="92"/>
      <c r="FR177" s="92"/>
      <c r="FS177" s="92"/>
      <c r="FT177" s="92"/>
      <c r="FU177" s="92"/>
    </row>
    <row r="178" spans="2:177" s="3" customFormat="1" ht="15.75">
      <c r="B178" s="5"/>
      <c r="C178" s="6"/>
      <c r="D178" s="6"/>
      <c r="E178" s="6"/>
      <c r="F178" s="6"/>
      <c r="G178" s="6"/>
      <c r="H178" s="6"/>
      <c r="I178" s="6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</row>
    <row r="179" spans="2:177" s="1" customFormat="1" ht="15.75">
      <c r="B179" s="2"/>
      <c r="C179" s="2"/>
      <c r="D179" s="2"/>
      <c r="E179" s="2"/>
      <c r="F179" s="2"/>
      <c r="G179" s="2"/>
      <c r="H179" s="2"/>
      <c r="I179" s="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2"/>
      <c r="DD179" s="92"/>
      <c r="DE179" s="92"/>
      <c r="DF179" s="92"/>
      <c r="DG179" s="92"/>
      <c r="DH179" s="92"/>
      <c r="DI179" s="92"/>
      <c r="DJ179" s="92"/>
      <c r="DK179" s="92"/>
      <c r="DL179" s="92"/>
      <c r="DM179" s="92"/>
      <c r="DN179" s="92"/>
      <c r="DO179" s="92"/>
      <c r="DP179" s="92"/>
      <c r="DQ179" s="92"/>
      <c r="DR179" s="92"/>
      <c r="DS179" s="92"/>
      <c r="DT179" s="92"/>
      <c r="DU179" s="92"/>
      <c r="DV179" s="92"/>
      <c r="DW179" s="92"/>
      <c r="DX179" s="92"/>
      <c r="DY179" s="92"/>
      <c r="DZ179" s="92"/>
      <c r="EA179" s="92"/>
      <c r="EB179" s="92"/>
      <c r="EC179" s="92"/>
      <c r="ED179" s="92"/>
      <c r="EE179" s="92"/>
      <c r="EF179" s="92"/>
      <c r="EG179" s="92"/>
      <c r="EH179" s="92"/>
      <c r="EI179" s="92"/>
      <c r="EJ179" s="92"/>
      <c r="EK179" s="92"/>
      <c r="EL179" s="92"/>
      <c r="EM179" s="92"/>
      <c r="EN179" s="92"/>
      <c r="EO179" s="92"/>
      <c r="EP179" s="92"/>
      <c r="EQ179" s="92"/>
      <c r="ER179" s="92"/>
      <c r="ES179" s="92"/>
      <c r="ET179" s="92"/>
      <c r="EU179" s="92"/>
      <c r="EV179" s="92"/>
      <c r="EW179" s="92"/>
      <c r="EX179" s="92"/>
      <c r="EY179" s="92"/>
      <c r="EZ179" s="92"/>
      <c r="FA179" s="92"/>
      <c r="FB179" s="92"/>
      <c r="FC179" s="92"/>
      <c r="FD179" s="92"/>
      <c r="FE179" s="92"/>
      <c r="FF179" s="92"/>
      <c r="FG179" s="92"/>
      <c r="FH179" s="92"/>
      <c r="FI179" s="92"/>
      <c r="FJ179" s="92"/>
      <c r="FK179" s="92"/>
      <c r="FL179" s="92"/>
      <c r="FM179" s="92"/>
      <c r="FN179" s="92"/>
      <c r="FO179" s="92"/>
      <c r="FP179" s="92"/>
      <c r="FQ179" s="92"/>
      <c r="FR179" s="92"/>
      <c r="FS179" s="92"/>
      <c r="FT179" s="92"/>
      <c r="FU179" s="92"/>
    </row>
    <row r="180" spans="2:177" s="1" customFormat="1" ht="15.75">
      <c r="B180" s="2"/>
      <c r="C180" s="2"/>
      <c r="D180" s="2"/>
      <c r="E180" s="2"/>
      <c r="F180" s="2"/>
      <c r="G180" s="2"/>
      <c r="H180" s="2"/>
      <c r="I180" s="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2"/>
      <c r="DD180" s="92"/>
      <c r="DE180" s="92"/>
      <c r="DF180" s="92"/>
      <c r="DG180" s="92"/>
      <c r="DH180" s="92"/>
      <c r="DI180" s="92"/>
      <c r="DJ180" s="92"/>
      <c r="DK180" s="92"/>
      <c r="DL180" s="92"/>
      <c r="DM180" s="92"/>
      <c r="DN180" s="92"/>
      <c r="DO180" s="92"/>
      <c r="DP180" s="92"/>
      <c r="DQ180" s="92"/>
      <c r="DR180" s="92"/>
      <c r="DS180" s="92"/>
      <c r="DT180" s="92"/>
      <c r="DU180" s="92"/>
      <c r="DV180" s="92"/>
      <c r="DW180" s="92"/>
      <c r="DX180" s="92"/>
      <c r="DY180" s="92"/>
      <c r="DZ180" s="92"/>
      <c r="EA180" s="92"/>
      <c r="EB180" s="92"/>
      <c r="EC180" s="92"/>
      <c r="ED180" s="92"/>
      <c r="EE180" s="92"/>
      <c r="EF180" s="92"/>
      <c r="EG180" s="92"/>
      <c r="EH180" s="92"/>
      <c r="EI180" s="92"/>
      <c r="EJ180" s="92"/>
      <c r="EK180" s="92"/>
      <c r="EL180" s="92"/>
      <c r="EM180" s="92"/>
      <c r="EN180" s="92"/>
      <c r="EO180" s="92"/>
      <c r="EP180" s="92"/>
      <c r="EQ180" s="92"/>
      <c r="ER180" s="92"/>
      <c r="ES180" s="92"/>
      <c r="ET180" s="92"/>
      <c r="EU180" s="92"/>
      <c r="EV180" s="92"/>
      <c r="EW180" s="92"/>
      <c r="EX180" s="92"/>
      <c r="EY180" s="92"/>
      <c r="EZ180" s="92"/>
      <c r="FA180" s="92"/>
      <c r="FB180" s="92"/>
      <c r="FC180" s="92"/>
      <c r="FD180" s="92"/>
      <c r="FE180" s="92"/>
      <c r="FF180" s="92"/>
      <c r="FG180" s="92"/>
      <c r="FH180" s="92"/>
      <c r="FI180" s="92"/>
      <c r="FJ180" s="92"/>
      <c r="FK180" s="92"/>
      <c r="FL180" s="92"/>
      <c r="FM180" s="92"/>
      <c r="FN180" s="92"/>
      <c r="FO180" s="92"/>
      <c r="FP180" s="92"/>
      <c r="FQ180" s="92"/>
      <c r="FR180" s="92"/>
      <c r="FS180" s="92"/>
      <c r="FT180" s="92"/>
      <c r="FU180" s="92"/>
    </row>
    <row r="181" spans="2:177" s="1" customFormat="1" ht="15.75">
      <c r="B181" s="2"/>
      <c r="C181" s="2"/>
      <c r="D181" s="2"/>
      <c r="E181" s="2"/>
      <c r="F181" s="2"/>
      <c r="G181" s="2"/>
      <c r="H181" s="2"/>
      <c r="I181" s="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  <c r="DP181" s="92"/>
      <c r="DQ181" s="92"/>
      <c r="DR181" s="92"/>
      <c r="DS181" s="92"/>
      <c r="DT181" s="92"/>
      <c r="DU181" s="92"/>
      <c r="DV181" s="92"/>
      <c r="DW181" s="92"/>
      <c r="DX181" s="92"/>
      <c r="DY181" s="92"/>
      <c r="DZ181" s="92"/>
      <c r="EA181" s="92"/>
      <c r="EB181" s="92"/>
      <c r="EC181" s="92"/>
      <c r="ED181" s="92"/>
      <c r="EE181" s="92"/>
      <c r="EF181" s="92"/>
      <c r="EG181" s="92"/>
      <c r="EH181" s="92"/>
      <c r="EI181" s="92"/>
      <c r="EJ181" s="92"/>
      <c r="EK181" s="92"/>
      <c r="EL181" s="92"/>
      <c r="EM181" s="92"/>
      <c r="EN181" s="92"/>
      <c r="EO181" s="92"/>
      <c r="EP181" s="92"/>
      <c r="EQ181" s="92"/>
      <c r="ER181" s="92"/>
      <c r="ES181" s="92"/>
      <c r="ET181" s="92"/>
      <c r="EU181" s="92"/>
      <c r="EV181" s="92"/>
      <c r="EW181" s="92"/>
      <c r="EX181" s="92"/>
      <c r="EY181" s="92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  <c r="FM181" s="92"/>
      <c r="FN181" s="92"/>
      <c r="FO181" s="92"/>
      <c r="FP181" s="92"/>
      <c r="FQ181" s="92"/>
      <c r="FR181" s="92"/>
      <c r="FS181" s="92"/>
      <c r="FT181" s="92"/>
      <c r="FU181" s="92"/>
    </row>
    <row r="182" spans="2:177" s="1" customFormat="1" ht="15.75">
      <c r="B182" s="2"/>
      <c r="C182" s="2"/>
      <c r="D182" s="2"/>
      <c r="E182" s="2"/>
      <c r="F182" s="2"/>
      <c r="G182" s="2"/>
      <c r="H182" s="2"/>
      <c r="I182" s="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  <c r="EF182" s="92"/>
      <c r="EG182" s="92"/>
      <c r="EH182" s="92"/>
      <c r="EI182" s="92"/>
      <c r="EJ182" s="92"/>
      <c r="EK182" s="92"/>
      <c r="EL182" s="92"/>
      <c r="EM182" s="92"/>
      <c r="EN182" s="92"/>
      <c r="EO182" s="92"/>
      <c r="EP182" s="92"/>
      <c r="EQ182" s="92"/>
      <c r="ER182" s="9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  <c r="FJ182" s="92"/>
      <c r="FK182" s="92"/>
      <c r="FL182" s="92"/>
      <c r="FM182" s="92"/>
      <c r="FN182" s="92"/>
      <c r="FO182" s="92"/>
      <c r="FP182" s="92"/>
      <c r="FQ182" s="92"/>
      <c r="FR182" s="92"/>
      <c r="FS182" s="92"/>
      <c r="FT182" s="92"/>
      <c r="FU182" s="92"/>
    </row>
    <row r="183" spans="2:177" s="1" customFormat="1" ht="15.75">
      <c r="B183" s="2"/>
      <c r="C183" s="2"/>
      <c r="D183" s="2"/>
      <c r="E183" s="2"/>
      <c r="F183" s="2"/>
      <c r="G183" s="2"/>
      <c r="H183" s="2"/>
      <c r="I183" s="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  <c r="DP183" s="92"/>
      <c r="DQ183" s="92"/>
      <c r="DR183" s="92"/>
      <c r="DS183" s="92"/>
      <c r="DT183" s="92"/>
      <c r="DU183" s="92"/>
      <c r="DV183" s="92"/>
      <c r="DW183" s="92"/>
      <c r="DX183" s="92"/>
      <c r="DY183" s="92"/>
      <c r="DZ183" s="92"/>
      <c r="EA183" s="92"/>
      <c r="EB183" s="92"/>
      <c r="EC183" s="92"/>
      <c r="ED183" s="92"/>
      <c r="EE183" s="92"/>
      <c r="EF183" s="92"/>
      <c r="EG183" s="92"/>
      <c r="EH183" s="92"/>
      <c r="EI183" s="92"/>
      <c r="EJ183" s="92"/>
      <c r="EK183" s="92"/>
      <c r="EL183" s="92"/>
      <c r="EM183" s="92"/>
      <c r="EN183" s="92"/>
      <c r="EO183" s="92"/>
      <c r="EP183" s="92"/>
      <c r="EQ183" s="92"/>
      <c r="ER183" s="92"/>
      <c r="ES183" s="92"/>
      <c r="ET183" s="92"/>
      <c r="EU183" s="92"/>
      <c r="EV183" s="92"/>
      <c r="EW183" s="92"/>
      <c r="EX183" s="92"/>
      <c r="EY183" s="92"/>
      <c r="EZ183" s="92"/>
      <c r="FA183" s="92"/>
      <c r="FB183" s="92"/>
      <c r="FC183" s="92"/>
      <c r="FD183" s="92"/>
      <c r="FE183" s="92"/>
      <c r="FF183" s="92"/>
      <c r="FG183" s="92"/>
      <c r="FH183" s="92"/>
      <c r="FI183" s="92"/>
      <c r="FJ183" s="92"/>
      <c r="FK183" s="92"/>
      <c r="FL183" s="92"/>
      <c r="FM183" s="92"/>
      <c r="FN183" s="92"/>
      <c r="FO183" s="92"/>
      <c r="FP183" s="92"/>
      <c r="FQ183" s="92"/>
      <c r="FR183" s="92"/>
      <c r="FS183" s="92"/>
      <c r="FT183" s="92"/>
      <c r="FU183" s="92"/>
    </row>
    <row r="184" spans="2:177" s="1" customFormat="1" ht="15.75">
      <c r="B184" s="2"/>
      <c r="C184" s="2"/>
      <c r="D184" s="2"/>
      <c r="E184" s="2"/>
      <c r="F184" s="2"/>
      <c r="G184" s="2"/>
      <c r="H184" s="2"/>
      <c r="I184" s="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92"/>
      <c r="DL184" s="92"/>
      <c r="DM184" s="92"/>
      <c r="DN184" s="92"/>
      <c r="DO184" s="92"/>
      <c r="DP184" s="92"/>
      <c r="DQ184" s="92"/>
      <c r="DR184" s="92"/>
      <c r="DS184" s="92"/>
      <c r="DT184" s="92"/>
      <c r="DU184" s="92"/>
      <c r="DV184" s="92"/>
      <c r="DW184" s="92"/>
      <c r="DX184" s="92"/>
      <c r="DY184" s="92"/>
      <c r="DZ184" s="92"/>
      <c r="EA184" s="92"/>
      <c r="EB184" s="92"/>
      <c r="EC184" s="92"/>
      <c r="ED184" s="92"/>
      <c r="EE184" s="92"/>
      <c r="EF184" s="92"/>
      <c r="EG184" s="92"/>
      <c r="EH184" s="92"/>
      <c r="EI184" s="92"/>
      <c r="EJ184" s="92"/>
      <c r="EK184" s="92"/>
      <c r="EL184" s="92"/>
      <c r="EM184" s="92"/>
      <c r="EN184" s="92"/>
      <c r="EO184" s="92"/>
      <c r="EP184" s="92"/>
      <c r="EQ184" s="92"/>
      <c r="ER184" s="92"/>
      <c r="ES184" s="92"/>
      <c r="ET184" s="92"/>
      <c r="EU184" s="92"/>
      <c r="EV184" s="92"/>
      <c r="EW184" s="92"/>
      <c r="EX184" s="92"/>
      <c r="EY184" s="92"/>
      <c r="EZ184" s="92"/>
      <c r="FA184" s="92"/>
      <c r="FB184" s="92"/>
      <c r="FC184" s="92"/>
      <c r="FD184" s="92"/>
      <c r="FE184" s="92"/>
      <c r="FF184" s="92"/>
      <c r="FG184" s="92"/>
      <c r="FH184" s="92"/>
      <c r="FI184" s="92"/>
      <c r="FJ184" s="92"/>
      <c r="FK184" s="92"/>
      <c r="FL184" s="92"/>
      <c r="FM184" s="92"/>
      <c r="FN184" s="92"/>
      <c r="FO184" s="92"/>
      <c r="FP184" s="92"/>
      <c r="FQ184" s="92"/>
      <c r="FR184" s="92"/>
      <c r="FS184" s="92"/>
      <c r="FT184" s="92"/>
      <c r="FU184" s="92"/>
    </row>
    <row r="185" spans="2:177" s="1" customFormat="1" ht="15.75">
      <c r="B185" s="2"/>
      <c r="C185" s="2"/>
      <c r="D185" s="2"/>
      <c r="E185" s="2"/>
      <c r="F185" s="2"/>
      <c r="G185" s="2"/>
      <c r="H185" s="2"/>
      <c r="I185" s="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2"/>
      <c r="DF185" s="92"/>
      <c r="DG185" s="92"/>
      <c r="DH185" s="92"/>
      <c r="DI185" s="92"/>
      <c r="DJ185" s="92"/>
      <c r="DK185" s="92"/>
      <c r="DL185" s="92"/>
      <c r="DM185" s="92"/>
      <c r="DN185" s="92"/>
      <c r="DO185" s="92"/>
      <c r="DP185" s="92"/>
      <c r="DQ185" s="92"/>
      <c r="DR185" s="92"/>
      <c r="DS185" s="92"/>
      <c r="DT185" s="92"/>
      <c r="DU185" s="92"/>
      <c r="DV185" s="92"/>
      <c r="DW185" s="92"/>
      <c r="DX185" s="92"/>
      <c r="DY185" s="92"/>
      <c r="DZ185" s="92"/>
      <c r="EA185" s="92"/>
      <c r="EB185" s="92"/>
      <c r="EC185" s="92"/>
      <c r="ED185" s="92"/>
      <c r="EE185" s="92"/>
      <c r="EF185" s="92"/>
      <c r="EG185" s="92"/>
      <c r="EH185" s="92"/>
      <c r="EI185" s="92"/>
      <c r="EJ185" s="92"/>
      <c r="EK185" s="92"/>
      <c r="EL185" s="92"/>
      <c r="EM185" s="92"/>
      <c r="EN185" s="92"/>
      <c r="EO185" s="92"/>
      <c r="EP185" s="92"/>
      <c r="EQ185" s="92"/>
      <c r="ER185" s="92"/>
      <c r="ES185" s="92"/>
      <c r="ET185" s="92"/>
      <c r="EU185" s="92"/>
      <c r="EV185" s="92"/>
      <c r="EW185" s="92"/>
      <c r="EX185" s="92"/>
      <c r="EY185" s="92"/>
      <c r="EZ185" s="92"/>
      <c r="FA185" s="92"/>
      <c r="FB185" s="92"/>
      <c r="FC185" s="92"/>
      <c r="FD185" s="92"/>
      <c r="FE185" s="92"/>
      <c r="FF185" s="92"/>
      <c r="FG185" s="92"/>
      <c r="FH185" s="92"/>
      <c r="FI185" s="92"/>
      <c r="FJ185" s="92"/>
      <c r="FK185" s="92"/>
      <c r="FL185" s="92"/>
      <c r="FM185" s="92"/>
      <c r="FN185" s="92"/>
      <c r="FO185" s="92"/>
      <c r="FP185" s="92"/>
      <c r="FQ185" s="92"/>
      <c r="FR185" s="92"/>
      <c r="FS185" s="92"/>
      <c r="FT185" s="92"/>
      <c r="FU185" s="92"/>
    </row>
    <row r="186" spans="2:177" s="1" customFormat="1" ht="15.75">
      <c r="B186" s="2"/>
      <c r="C186" s="2"/>
      <c r="D186" s="2"/>
      <c r="E186" s="2"/>
      <c r="F186" s="2"/>
      <c r="G186" s="2"/>
      <c r="H186" s="2"/>
      <c r="I186" s="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/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  <c r="FM186" s="92"/>
      <c r="FN186" s="92"/>
      <c r="FO186" s="92"/>
      <c r="FP186" s="92"/>
      <c r="FQ186" s="92"/>
      <c r="FR186" s="92"/>
      <c r="FS186" s="92"/>
      <c r="FT186" s="92"/>
      <c r="FU186" s="92"/>
    </row>
    <row r="187" spans="10:177" s="1" customFormat="1" ht="15.75"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92"/>
      <c r="DL187" s="92"/>
      <c r="DM187" s="92"/>
      <c r="DN187" s="92"/>
      <c r="DO187" s="92"/>
      <c r="DP187" s="92"/>
      <c r="DQ187" s="92"/>
      <c r="DR187" s="92"/>
      <c r="DS187" s="92"/>
      <c r="DT187" s="92"/>
      <c r="DU187" s="92"/>
      <c r="DV187" s="92"/>
      <c r="DW187" s="92"/>
      <c r="DX187" s="92"/>
      <c r="DY187" s="92"/>
      <c r="DZ187" s="92"/>
      <c r="EA187" s="92"/>
      <c r="EB187" s="92"/>
      <c r="EC187" s="92"/>
      <c r="ED187" s="92"/>
      <c r="EE187" s="92"/>
      <c r="EF187" s="92"/>
      <c r="EG187" s="92"/>
      <c r="EH187" s="92"/>
      <c r="EI187" s="92"/>
      <c r="EJ187" s="92"/>
      <c r="EK187" s="92"/>
      <c r="EL187" s="92"/>
      <c r="EM187" s="92"/>
      <c r="EN187" s="92"/>
      <c r="EO187" s="92"/>
      <c r="EP187" s="92"/>
      <c r="EQ187" s="92"/>
      <c r="ER187" s="92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92"/>
    </row>
    <row r="188" spans="10:177" s="1" customFormat="1" ht="15.75"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</row>
    <row r="189" spans="10:177" s="1" customFormat="1" ht="15.75"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</row>
    <row r="190" spans="10:177" s="1" customFormat="1" ht="15.75"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</row>
    <row r="191" spans="10:177" s="1" customFormat="1" ht="15.75"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</row>
    <row r="192" spans="10:177" s="1" customFormat="1" ht="15.75"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92"/>
      <c r="DY192" s="92"/>
      <c r="DZ192" s="92"/>
      <c r="EA192" s="92"/>
      <c r="EB192" s="92"/>
      <c r="EC192" s="92"/>
      <c r="ED192" s="92"/>
      <c r="EE192" s="92"/>
      <c r="EF192" s="92"/>
      <c r="EG192" s="92"/>
      <c r="EH192" s="92"/>
      <c r="EI192" s="92"/>
      <c r="EJ192" s="92"/>
      <c r="EK192" s="92"/>
      <c r="EL192" s="92"/>
      <c r="EM192" s="92"/>
      <c r="EN192" s="92"/>
      <c r="EO192" s="92"/>
      <c r="EP192" s="92"/>
      <c r="EQ192" s="92"/>
      <c r="ER192" s="92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  <c r="FJ192" s="92"/>
      <c r="FK192" s="92"/>
      <c r="FL192" s="92"/>
      <c r="FM192" s="92"/>
      <c r="FN192" s="92"/>
      <c r="FO192" s="92"/>
      <c r="FP192" s="92"/>
      <c r="FQ192" s="92"/>
      <c r="FR192" s="92"/>
      <c r="FS192" s="92"/>
      <c r="FT192" s="92"/>
      <c r="FU192" s="92"/>
    </row>
    <row r="193" spans="10:177" s="1" customFormat="1" ht="15.75"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/>
      <c r="DG193" s="92"/>
      <c r="DH193" s="92"/>
      <c r="DI193" s="92"/>
      <c r="DJ193" s="92"/>
      <c r="DK193" s="92"/>
      <c r="DL193" s="92"/>
      <c r="DM193" s="92"/>
      <c r="DN193" s="92"/>
      <c r="DO193" s="92"/>
      <c r="DP193" s="92"/>
      <c r="DQ193" s="92"/>
      <c r="DR193" s="92"/>
      <c r="DS193" s="92"/>
      <c r="DT193" s="92"/>
      <c r="DU193" s="92"/>
      <c r="DV193" s="92"/>
      <c r="DW193" s="92"/>
      <c r="DX193" s="92"/>
      <c r="DY193" s="92"/>
      <c r="DZ193" s="92"/>
      <c r="EA193" s="92"/>
      <c r="EB193" s="92"/>
      <c r="EC193" s="92"/>
      <c r="ED193" s="92"/>
      <c r="EE193" s="92"/>
      <c r="EF193" s="92"/>
      <c r="EG193" s="92"/>
      <c r="EH193" s="92"/>
      <c r="EI193" s="92"/>
      <c r="EJ193" s="92"/>
      <c r="EK193" s="92"/>
      <c r="EL193" s="92"/>
      <c r="EM193" s="92"/>
      <c r="EN193" s="92"/>
      <c r="EO193" s="92"/>
      <c r="EP193" s="92"/>
      <c r="EQ193" s="92"/>
      <c r="ER193" s="92"/>
      <c r="ES193" s="92"/>
      <c r="ET193" s="92"/>
      <c r="EU193" s="92"/>
      <c r="EV193" s="92"/>
      <c r="EW193" s="92"/>
      <c r="EX193" s="92"/>
      <c r="EY193" s="92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  <c r="FJ193" s="92"/>
      <c r="FK193" s="92"/>
      <c r="FL193" s="92"/>
      <c r="FM193" s="92"/>
      <c r="FN193" s="92"/>
      <c r="FO193" s="92"/>
      <c r="FP193" s="92"/>
      <c r="FQ193" s="92"/>
      <c r="FR193" s="92"/>
      <c r="FS193" s="92"/>
      <c r="FT193" s="92"/>
      <c r="FU193" s="92"/>
    </row>
    <row r="194" spans="10:177" s="1" customFormat="1" ht="15.75"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2"/>
      <c r="DC194" s="92"/>
      <c r="DD194" s="92"/>
      <c r="DE194" s="92"/>
      <c r="DF194" s="92"/>
      <c r="DG194" s="92"/>
      <c r="DH194" s="92"/>
      <c r="DI194" s="92"/>
      <c r="DJ194" s="92"/>
      <c r="DK194" s="92"/>
      <c r="DL194" s="92"/>
      <c r="DM194" s="92"/>
      <c r="DN194" s="92"/>
      <c r="DO194" s="92"/>
      <c r="DP194" s="92"/>
      <c r="DQ194" s="92"/>
      <c r="DR194" s="92"/>
      <c r="DS194" s="92"/>
      <c r="DT194" s="92"/>
      <c r="DU194" s="92"/>
      <c r="DV194" s="92"/>
      <c r="DW194" s="92"/>
      <c r="DX194" s="92"/>
      <c r="DY194" s="92"/>
      <c r="DZ194" s="92"/>
      <c r="EA194" s="92"/>
      <c r="EB194" s="92"/>
      <c r="EC194" s="92"/>
      <c r="ED194" s="92"/>
      <c r="EE194" s="92"/>
      <c r="EF194" s="92"/>
      <c r="EG194" s="92"/>
      <c r="EH194" s="92"/>
      <c r="EI194" s="92"/>
      <c r="EJ194" s="92"/>
      <c r="EK194" s="92"/>
      <c r="EL194" s="92"/>
      <c r="EM194" s="92"/>
      <c r="EN194" s="92"/>
      <c r="EO194" s="92"/>
      <c r="EP194" s="92"/>
      <c r="EQ194" s="92"/>
      <c r="ER194" s="92"/>
      <c r="ES194" s="92"/>
      <c r="ET194" s="92"/>
      <c r="EU194" s="92"/>
      <c r="EV194" s="92"/>
      <c r="EW194" s="92"/>
      <c r="EX194" s="92"/>
      <c r="EY194" s="92"/>
      <c r="EZ194" s="92"/>
      <c r="FA194" s="92"/>
      <c r="FB194" s="92"/>
      <c r="FC194" s="92"/>
      <c r="FD194" s="92"/>
      <c r="FE194" s="92"/>
      <c r="FF194" s="92"/>
      <c r="FG194" s="92"/>
      <c r="FH194" s="92"/>
      <c r="FI194" s="92"/>
      <c r="FJ194" s="92"/>
      <c r="FK194" s="92"/>
      <c r="FL194" s="92"/>
      <c r="FM194" s="92"/>
      <c r="FN194" s="92"/>
      <c r="FO194" s="92"/>
      <c r="FP194" s="92"/>
      <c r="FQ194" s="92"/>
      <c r="FR194" s="92"/>
      <c r="FS194" s="92"/>
      <c r="FT194" s="92"/>
      <c r="FU194" s="92"/>
    </row>
    <row r="195" spans="10:177" s="1" customFormat="1" ht="15.75"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92"/>
      <c r="DX195" s="92"/>
      <c r="DY195" s="92"/>
      <c r="DZ195" s="92"/>
      <c r="EA195" s="92"/>
      <c r="EB195" s="92"/>
      <c r="EC195" s="92"/>
      <c r="ED195" s="92"/>
      <c r="EE195" s="92"/>
      <c r="EF195" s="92"/>
      <c r="EG195" s="92"/>
      <c r="EH195" s="92"/>
      <c r="EI195" s="92"/>
      <c r="EJ195" s="92"/>
      <c r="EK195" s="92"/>
      <c r="EL195" s="92"/>
      <c r="EM195" s="92"/>
      <c r="EN195" s="92"/>
      <c r="EO195" s="92"/>
      <c r="EP195" s="92"/>
      <c r="EQ195" s="92"/>
      <c r="ER195" s="92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  <c r="FM195" s="92"/>
      <c r="FN195" s="92"/>
      <c r="FO195" s="92"/>
      <c r="FP195" s="92"/>
      <c r="FQ195" s="92"/>
      <c r="FR195" s="92"/>
      <c r="FS195" s="92"/>
      <c r="FT195" s="92"/>
      <c r="FU195" s="92"/>
    </row>
    <row r="196" spans="10:177" s="1" customFormat="1" ht="15.75"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</row>
    <row r="197" spans="10:177" s="1" customFormat="1" ht="15.75"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</row>
    <row r="198" spans="10:177" s="1" customFormat="1" ht="15.75"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92"/>
      <c r="DX198" s="92"/>
      <c r="DY198" s="92"/>
      <c r="DZ198" s="92"/>
      <c r="EA198" s="92"/>
      <c r="EB198" s="92"/>
      <c r="EC198" s="92"/>
      <c r="ED198" s="92"/>
      <c r="EE198" s="92"/>
      <c r="EF198" s="92"/>
      <c r="EG198" s="92"/>
      <c r="EH198" s="92"/>
      <c r="EI198" s="92"/>
      <c r="EJ198" s="92"/>
      <c r="EK198" s="92"/>
      <c r="EL198" s="92"/>
      <c r="EM198" s="92"/>
      <c r="EN198" s="92"/>
      <c r="EO198" s="92"/>
      <c r="EP198" s="92"/>
      <c r="EQ198" s="92"/>
      <c r="ER198" s="92"/>
      <c r="ES198" s="92"/>
      <c r="ET198" s="92"/>
      <c r="EU198" s="92"/>
      <c r="EV198" s="92"/>
      <c r="EW198" s="92"/>
      <c r="EX198" s="92"/>
      <c r="EY198" s="92"/>
      <c r="EZ198" s="92"/>
      <c r="FA198" s="92"/>
      <c r="FB198" s="92"/>
      <c r="FC198" s="92"/>
      <c r="FD198" s="92"/>
      <c r="FE198" s="92"/>
      <c r="FF198" s="92"/>
      <c r="FG198" s="92"/>
      <c r="FH198" s="92"/>
      <c r="FI198" s="92"/>
      <c r="FJ198" s="92"/>
      <c r="FK198" s="92"/>
      <c r="FL198" s="92"/>
      <c r="FM198" s="92"/>
      <c r="FN198" s="92"/>
      <c r="FO198" s="92"/>
      <c r="FP198" s="92"/>
      <c r="FQ198" s="92"/>
      <c r="FR198" s="92"/>
      <c r="FS198" s="92"/>
      <c r="FT198" s="92"/>
      <c r="FU198" s="92"/>
    </row>
    <row r="199" spans="10:177" s="1" customFormat="1" ht="15.75"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</row>
    <row r="200" spans="10:177" s="1" customFormat="1" ht="15.75"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</row>
    <row r="201" spans="10:177" s="1" customFormat="1" ht="15.75"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</row>
    <row r="202" spans="10:177" s="1" customFormat="1" ht="15.75"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  <c r="EE202" s="92"/>
      <c r="EF202" s="92"/>
      <c r="EG202" s="92"/>
      <c r="EH202" s="92"/>
      <c r="EI202" s="92"/>
      <c r="EJ202" s="92"/>
      <c r="EK202" s="92"/>
      <c r="EL202" s="92"/>
      <c r="EM202" s="92"/>
      <c r="EN202" s="92"/>
      <c r="EO202" s="92"/>
      <c r="EP202" s="92"/>
      <c r="EQ202" s="92"/>
      <c r="ER202" s="92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</row>
    <row r="203" spans="10:177" s="1" customFormat="1" ht="15.75"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</row>
    <row r="204" spans="10:177" s="1" customFormat="1" ht="15.75"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</row>
    <row r="205" spans="10:177" s="1" customFormat="1" ht="15.75"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  <c r="ER205" s="92"/>
      <c r="ES205" s="92"/>
      <c r="ET205" s="92"/>
      <c r="EU205" s="92"/>
      <c r="EV205" s="92"/>
      <c r="EW205" s="92"/>
      <c r="EX205" s="92"/>
      <c r="EY205" s="92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  <c r="FM205" s="92"/>
      <c r="FN205" s="92"/>
      <c r="FO205" s="92"/>
      <c r="FP205" s="92"/>
      <c r="FQ205" s="92"/>
      <c r="FR205" s="92"/>
      <c r="FS205" s="92"/>
      <c r="FT205" s="92"/>
      <c r="FU205" s="92"/>
    </row>
    <row r="206" spans="10:177" s="1" customFormat="1" ht="15.75"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</row>
    <row r="207" spans="10:177" s="1" customFormat="1" ht="15.75"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</row>
    <row r="208" spans="10:177" s="1" customFormat="1" ht="15.75"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</row>
    <row r="209" spans="10:177" s="1" customFormat="1" ht="15.75"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</row>
    <row r="210" spans="10:177" s="1" customFormat="1" ht="15.75"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  <c r="EE210" s="92"/>
      <c r="EF210" s="92"/>
      <c r="EG210" s="92"/>
      <c r="EH210" s="92"/>
      <c r="EI210" s="92"/>
      <c r="EJ210" s="92"/>
      <c r="EK210" s="92"/>
      <c r="EL210" s="92"/>
      <c r="EM210" s="92"/>
      <c r="EN210" s="92"/>
      <c r="EO210" s="92"/>
      <c r="EP210" s="92"/>
      <c r="EQ210" s="92"/>
      <c r="ER210" s="92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</row>
    <row r="211" spans="10:177" s="1" customFormat="1" ht="15.75"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</row>
    <row r="212" spans="10:177" s="1" customFormat="1" ht="15.75"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92"/>
      <c r="EJ212" s="92"/>
      <c r="EK212" s="92"/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</row>
    <row r="213" spans="10:177" s="1" customFormat="1" ht="15.75"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  <c r="DM213" s="92"/>
      <c r="DN213" s="92"/>
      <c r="DO213" s="92"/>
      <c r="DP213" s="92"/>
      <c r="DQ213" s="92"/>
      <c r="DR213" s="92"/>
      <c r="DS213" s="92"/>
      <c r="DT213" s="92"/>
      <c r="DU213" s="92"/>
      <c r="DV213" s="92"/>
      <c r="DW213" s="92"/>
      <c r="DX213" s="92"/>
      <c r="DY213" s="92"/>
      <c r="DZ213" s="92"/>
      <c r="EA213" s="92"/>
      <c r="EB213" s="92"/>
      <c r="EC213" s="92"/>
      <c r="ED213" s="92"/>
      <c r="EE213" s="92"/>
      <c r="EF213" s="92"/>
      <c r="EG213" s="92"/>
      <c r="EH213" s="92"/>
      <c r="EI213" s="92"/>
      <c r="EJ213" s="92"/>
      <c r="EK213" s="92"/>
      <c r="EL213" s="92"/>
      <c r="EM213" s="92"/>
      <c r="EN213" s="92"/>
      <c r="EO213" s="92"/>
      <c r="EP213" s="92"/>
      <c r="EQ213" s="92"/>
      <c r="ER213" s="92"/>
      <c r="ES213" s="92"/>
      <c r="ET213" s="92"/>
      <c r="EU213" s="92"/>
      <c r="EV213" s="92"/>
      <c r="EW213" s="92"/>
      <c r="EX213" s="92"/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2"/>
      <c r="FK213" s="92"/>
      <c r="FL213" s="92"/>
      <c r="FM213" s="92"/>
      <c r="FN213" s="92"/>
      <c r="FO213" s="92"/>
      <c r="FP213" s="92"/>
      <c r="FQ213" s="92"/>
      <c r="FR213" s="92"/>
      <c r="FS213" s="92"/>
      <c r="FT213" s="92"/>
      <c r="FU213" s="92"/>
    </row>
    <row r="214" spans="10:177" s="1" customFormat="1" ht="15.75"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92"/>
      <c r="DL214" s="92"/>
      <c r="DM214" s="92"/>
      <c r="DN214" s="92"/>
      <c r="DO214" s="92"/>
      <c r="DP214" s="92"/>
      <c r="DQ214" s="92"/>
      <c r="DR214" s="92"/>
      <c r="DS214" s="92"/>
      <c r="DT214" s="92"/>
      <c r="DU214" s="92"/>
      <c r="DV214" s="92"/>
      <c r="DW214" s="92"/>
      <c r="DX214" s="92"/>
      <c r="DY214" s="92"/>
      <c r="DZ214" s="92"/>
      <c r="EA214" s="92"/>
      <c r="EB214" s="92"/>
      <c r="EC214" s="92"/>
      <c r="ED214" s="92"/>
      <c r="EE214" s="92"/>
      <c r="EF214" s="92"/>
      <c r="EG214" s="92"/>
      <c r="EH214" s="92"/>
      <c r="EI214" s="92"/>
      <c r="EJ214" s="92"/>
      <c r="EK214" s="92"/>
      <c r="EL214" s="92"/>
      <c r="EM214" s="92"/>
      <c r="EN214" s="92"/>
      <c r="EO214" s="92"/>
      <c r="EP214" s="92"/>
      <c r="EQ214" s="92"/>
      <c r="ER214" s="92"/>
      <c r="ES214" s="92"/>
      <c r="ET214" s="92"/>
      <c r="EU214" s="92"/>
      <c r="EV214" s="92"/>
      <c r="EW214" s="92"/>
      <c r="EX214" s="92"/>
      <c r="EY214" s="92"/>
      <c r="EZ214" s="92"/>
      <c r="FA214" s="92"/>
      <c r="FB214" s="92"/>
      <c r="FC214" s="92"/>
      <c r="FD214" s="92"/>
      <c r="FE214" s="92"/>
      <c r="FF214" s="92"/>
      <c r="FG214" s="92"/>
      <c r="FH214" s="92"/>
      <c r="FI214" s="92"/>
      <c r="FJ214" s="92"/>
      <c r="FK214" s="92"/>
      <c r="FL214" s="92"/>
      <c r="FM214" s="92"/>
      <c r="FN214" s="92"/>
      <c r="FO214" s="92"/>
      <c r="FP214" s="92"/>
      <c r="FQ214" s="92"/>
      <c r="FR214" s="92"/>
      <c r="FS214" s="92"/>
      <c r="FT214" s="92"/>
      <c r="FU214" s="92"/>
    </row>
    <row r="215" spans="10:177" s="1" customFormat="1" ht="15.75"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  <c r="DM215" s="92"/>
      <c r="DN215" s="92"/>
      <c r="DO215" s="92"/>
      <c r="DP215" s="92"/>
      <c r="DQ215" s="92"/>
      <c r="DR215" s="92"/>
      <c r="DS215" s="92"/>
      <c r="DT215" s="92"/>
      <c r="DU215" s="92"/>
      <c r="DV215" s="92"/>
      <c r="DW215" s="92"/>
      <c r="DX215" s="92"/>
      <c r="DY215" s="92"/>
      <c r="DZ215" s="92"/>
      <c r="EA215" s="92"/>
      <c r="EB215" s="92"/>
      <c r="EC215" s="92"/>
      <c r="ED215" s="92"/>
      <c r="EE215" s="92"/>
      <c r="EF215" s="92"/>
      <c r="EG215" s="92"/>
      <c r="EH215" s="92"/>
      <c r="EI215" s="92"/>
      <c r="EJ215" s="92"/>
      <c r="EK215" s="92"/>
      <c r="EL215" s="92"/>
      <c r="EM215" s="92"/>
      <c r="EN215" s="92"/>
      <c r="EO215" s="92"/>
      <c r="EP215" s="92"/>
      <c r="EQ215" s="92"/>
      <c r="ER215" s="92"/>
      <c r="ES215" s="92"/>
      <c r="ET215" s="92"/>
      <c r="EU215" s="92"/>
      <c r="EV215" s="92"/>
      <c r="EW215" s="92"/>
      <c r="EX215" s="92"/>
      <c r="EY215" s="92"/>
      <c r="EZ215" s="92"/>
      <c r="FA215" s="92"/>
      <c r="FB215" s="92"/>
      <c r="FC215" s="92"/>
      <c r="FD215" s="92"/>
      <c r="FE215" s="92"/>
      <c r="FF215" s="92"/>
      <c r="FG215" s="92"/>
      <c r="FH215" s="92"/>
      <c r="FI215" s="92"/>
      <c r="FJ215" s="92"/>
      <c r="FK215" s="92"/>
      <c r="FL215" s="92"/>
      <c r="FM215" s="92"/>
      <c r="FN215" s="92"/>
      <c r="FO215" s="92"/>
      <c r="FP215" s="92"/>
      <c r="FQ215" s="92"/>
      <c r="FR215" s="92"/>
      <c r="FS215" s="92"/>
      <c r="FT215" s="92"/>
      <c r="FU215" s="92"/>
    </row>
    <row r="216" spans="10:177" s="1" customFormat="1" ht="15.75"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  <c r="DM216" s="92"/>
      <c r="DN216" s="92"/>
      <c r="DO216" s="92"/>
      <c r="DP216" s="92"/>
      <c r="DQ216" s="92"/>
      <c r="DR216" s="92"/>
      <c r="DS216" s="92"/>
      <c r="DT216" s="92"/>
      <c r="DU216" s="92"/>
      <c r="DV216" s="92"/>
      <c r="DW216" s="92"/>
      <c r="DX216" s="92"/>
      <c r="DY216" s="92"/>
      <c r="DZ216" s="92"/>
      <c r="EA216" s="92"/>
      <c r="EB216" s="92"/>
      <c r="EC216" s="92"/>
      <c r="ED216" s="92"/>
      <c r="EE216" s="92"/>
      <c r="EF216" s="92"/>
      <c r="EG216" s="92"/>
      <c r="EH216" s="92"/>
      <c r="EI216" s="92"/>
      <c r="EJ216" s="92"/>
      <c r="EK216" s="92"/>
      <c r="EL216" s="92"/>
      <c r="EM216" s="92"/>
      <c r="EN216" s="92"/>
      <c r="EO216" s="92"/>
      <c r="EP216" s="92"/>
      <c r="EQ216" s="92"/>
      <c r="ER216" s="92"/>
      <c r="ES216" s="92"/>
      <c r="ET216" s="92"/>
      <c r="EU216" s="92"/>
      <c r="EV216" s="92"/>
      <c r="EW216" s="92"/>
      <c r="EX216" s="92"/>
      <c r="EY216" s="92"/>
      <c r="EZ216" s="92"/>
      <c r="FA216" s="92"/>
      <c r="FB216" s="92"/>
      <c r="FC216" s="92"/>
      <c r="FD216" s="92"/>
      <c r="FE216" s="92"/>
      <c r="FF216" s="92"/>
      <c r="FG216" s="92"/>
      <c r="FH216" s="92"/>
      <c r="FI216" s="92"/>
      <c r="FJ216" s="92"/>
      <c r="FK216" s="92"/>
      <c r="FL216" s="92"/>
      <c r="FM216" s="92"/>
      <c r="FN216" s="92"/>
      <c r="FO216" s="92"/>
      <c r="FP216" s="92"/>
      <c r="FQ216" s="92"/>
      <c r="FR216" s="92"/>
      <c r="FS216" s="92"/>
      <c r="FT216" s="92"/>
      <c r="FU216" s="92"/>
    </row>
    <row r="217" spans="10:177" s="1" customFormat="1" ht="15.75"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  <c r="DP217" s="92"/>
      <c r="DQ217" s="92"/>
      <c r="DR217" s="92"/>
      <c r="DS217" s="92"/>
      <c r="DT217" s="92"/>
      <c r="DU217" s="92"/>
      <c r="DV217" s="92"/>
      <c r="DW217" s="92"/>
      <c r="DX217" s="92"/>
      <c r="DY217" s="92"/>
      <c r="DZ217" s="92"/>
      <c r="EA217" s="92"/>
      <c r="EB217" s="92"/>
      <c r="EC217" s="92"/>
      <c r="ED217" s="92"/>
      <c r="EE217" s="92"/>
      <c r="EF217" s="92"/>
      <c r="EG217" s="92"/>
      <c r="EH217" s="92"/>
      <c r="EI217" s="92"/>
      <c r="EJ217" s="92"/>
      <c r="EK217" s="92"/>
      <c r="EL217" s="92"/>
      <c r="EM217" s="92"/>
      <c r="EN217" s="92"/>
      <c r="EO217" s="92"/>
      <c r="EP217" s="92"/>
      <c r="EQ217" s="92"/>
      <c r="ER217" s="92"/>
      <c r="ES217" s="92"/>
      <c r="ET217" s="92"/>
      <c r="EU217" s="92"/>
      <c r="EV217" s="92"/>
      <c r="EW217" s="92"/>
      <c r="EX217" s="92"/>
      <c r="EY217" s="92"/>
      <c r="EZ217" s="92"/>
      <c r="FA217" s="92"/>
      <c r="FB217" s="92"/>
      <c r="FC217" s="92"/>
      <c r="FD217" s="92"/>
      <c r="FE217" s="92"/>
      <c r="FF217" s="92"/>
      <c r="FG217" s="92"/>
      <c r="FH217" s="92"/>
      <c r="FI217" s="92"/>
      <c r="FJ217" s="92"/>
      <c r="FK217" s="92"/>
      <c r="FL217" s="92"/>
      <c r="FM217" s="92"/>
      <c r="FN217" s="92"/>
      <c r="FO217" s="92"/>
      <c r="FP217" s="92"/>
      <c r="FQ217" s="92"/>
      <c r="FR217" s="92"/>
      <c r="FS217" s="92"/>
      <c r="FT217" s="92"/>
      <c r="FU217" s="92"/>
    </row>
    <row r="218" spans="10:177" s="1" customFormat="1" ht="15.75"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92"/>
      <c r="DL218" s="92"/>
      <c r="DM218" s="92"/>
      <c r="DN218" s="92"/>
      <c r="DO218" s="92"/>
      <c r="DP218" s="92"/>
      <c r="DQ218" s="92"/>
      <c r="DR218" s="92"/>
      <c r="DS218" s="92"/>
      <c r="DT218" s="92"/>
      <c r="DU218" s="92"/>
      <c r="DV218" s="92"/>
      <c r="DW218" s="92"/>
      <c r="DX218" s="92"/>
      <c r="DY218" s="92"/>
      <c r="DZ218" s="92"/>
      <c r="EA218" s="92"/>
      <c r="EB218" s="92"/>
      <c r="EC218" s="92"/>
      <c r="ED218" s="92"/>
      <c r="EE218" s="92"/>
      <c r="EF218" s="92"/>
      <c r="EG218" s="92"/>
      <c r="EH218" s="92"/>
      <c r="EI218" s="92"/>
      <c r="EJ218" s="92"/>
      <c r="EK218" s="92"/>
      <c r="EL218" s="92"/>
      <c r="EM218" s="92"/>
      <c r="EN218" s="92"/>
      <c r="EO218" s="92"/>
      <c r="EP218" s="92"/>
      <c r="EQ218" s="92"/>
      <c r="ER218" s="92"/>
      <c r="ES218" s="92"/>
      <c r="ET218" s="92"/>
      <c r="EU218" s="92"/>
      <c r="EV218" s="92"/>
      <c r="EW218" s="92"/>
      <c r="EX218" s="92"/>
      <c r="EY218" s="92"/>
      <c r="EZ218" s="92"/>
      <c r="FA218" s="92"/>
      <c r="FB218" s="92"/>
      <c r="FC218" s="92"/>
      <c r="FD218" s="92"/>
      <c r="FE218" s="92"/>
      <c r="FF218" s="92"/>
      <c r="FG218" s="92"/>
      <c r="FH218" s="92"/>
      <c r="FI218" s="92"/>
      <c r="FJ218" s="92"/>
      <c r="FK218" s="92"/>
      <c r="FL218" s="92"/>
      <c r="FM218" s="92"/>
      <c r="FN218" s="92"/>
      <c r="FO218" s="92"/>
      <c r="FP218" s="92"/>
      <c r="FQ218" s="92"/>
      <c r="FR218" s="92"/>
      <c r="FS218" s="92"/>
      <c r="FT218" s="92"/>
      <c r="FU218" s="92"/>
    </row>
    <row r="219" spans="10:177" s="1" customFormat="1" ht="15.75"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</row>
    <row r="220" spans="10:177" s="1" customFormat="1" ht="15.75"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  <c r="DP220" s="92"/>
      <c r="DQ220" s="92"/>
      <c r="DR220" s="92"/>
      <c r="DS220" s="92"/>
      <c r="DT220" s="92"/>
      <c r="DU220" s="92"/>
      <c r="DV220" s="92"/>
      <c r="DW220" s="92"/>
      <c r="DX220" s="92"/>
      <c r="DY220" s="92"/>
      <c r="DZ220" s="92"/>
      <c r="EA220" s="92"/>
      <c r="EB220" s="92"/>
      <c r="EC220" s="92"/>
      <c r="ED220" s="92"/>
      <c r="EE220" s="92"/>
      <c r="EF220" s="92"/>
      <c r="EG220" s="92"/>
      <c r="EH220" s="92"/>
      <c r="EI220" s="92"/>
      <c r="EJ220" s="92"/>
      <c r="EK220" s="92"/>
      <c r="EL220" s="92"/>
      <c r="EM220" s="92"/>
      <c r="EN220" s="92"/>
      <c r="EO220" s="92"/>
      <c r="EP220" s="92"/>
      <c r="EQ220" s="92"/>
      <c r="ER220" s="92"/>
      <c r="ES220" s="92"/>
      <c r="ET220" s="92"/>
      <c r="EU220" s="92"/>
      <c r="EV220" s="92"/>
      <c r="EW220" s="92"/>
      <c r="EX220" s="92"/>
      <c r="EY220" s="92"/>
      <c r="EZ220" s="92"/>
      <c r="FA220" s="92"/>
      <c r="FB220" s="92"/>
      <c r="FC220" s="92"/>
      <c r="FD220" s="92"/>
      <c r="FE220" s="92"/>
      <c r="FF220" s="92"/>
      <c r="FG220" s="92"/>
      <c r="FH220" s="92"/>
      <c r="FI220" s="92"/>
      <c r="FJ220" s="92"/>
      <c r="FK220" s="92"/>
      <c r="FL220" s="92"/>
      <c r="FM220" s="92"/>
      <c r="FN220" s="92"/>
      <c r="FO220" s="92"/>
      <c r="FP220" s="92"/>
      <c r="FQ220" s="92"/>
      <c r="FR220" s="92"/>
      <c r="FS220" s="92"/>
      <c r="FT220" s="92"/>
      <c r="FU220" s="92"/>
    </row>
    <row r="221" spans="10:177" s="1" customFormat="1" ht="15.75"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  <c r="EE221" s="92"/>
      <c r="EF221" s="92"/>
      <c r="EG221" s="92"/>
      <c r="EH221" s="92"/>
      <c r="EI221" s="92"/>
      <c r="EJ221" s="92"/>
      <c r="EK221" s="92"/>
      <c r="EL221" s="92"/>
      <c r="EM221" s="92"/>
      <c r="EN221" s="92"/>
      <c r="EO221" s="92"/>
      <c r="EP221" s="92"/>
      <c r="EQ221" s="92"/>
      <c r="ER221" s="9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</row>
    <row r="222" spans="10:177" s="1" customFormat="1" ht="15.75"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2"/>
      <c r="DR222" s="92"/>
      <c r="DS222" s="92"/>
      <c r="DT222" s="92"/>
      <c r="DU222" s="92"/>
      <c r="DV222" s="92"/>
      <c r="DW222" s="92"/>
      <c r="DX222" s="92"/>
      <c r="DY222" s="92"/>
      <c r="DZ222" s="92"/>
      <c r="EA222" s="92"/>
      <c r="EB222" s="92"/>
      <c r="EC222" s="92"/>
      <c r="ED222" s="92"/>
      <c r="EE222" s="92"/>
      <c r="EF222" s="92"/>
      <c r="EG222" s="92"/>
      <c r="EH222" s="92"/>
      <c r="EI222" s="92"/>
      <c r="EJ222" s="92"/>
      <c r="EK222" s="92"/>
      <c r="EL222" s="92"/>
      <c r="EM222" s="92"/>
      <c r="EN222" s="92"/>
      <c r="EO222" s="92"/>
      <c r="EP222" s="92"/>
      <c r="EQ222" s="92"/>
      <c r="ER222" s="92"/>
      <c r="ES222" s="92"/>
      <c r="ET222" s="92"/>
      <c r="EU222" s="92"/>
      <c r="EV222" s="92"/>
      <c r="EW222" s="92"/>
      <c r="EX222" s="92"/>
      <c r="EY222" s="92"/>
      <c r="EZ222" s="92"/>
      <c r="FA222" s="92"/>
      <c r="FB222" s="92"/>
      <c r="FC222" s="92"/>
      <c r="FD222" s="92"/>
      <c r="FE222" s="92"/>
      <c r="FF222" s="92"/>
      <c r="FG222" s="92"/>
      <c r="FH222" s="92"/>
      <c r="FI222" s="92"/>
      <c r="FJ222" s="92"/>
      <c r="FK222" s="92"/>
      <c r="FL222" s="92"/>
      <c r="FM222" s="92"/>
      <c r="FN222" s="92"/>
      <c r="FO222" s="92"/>
      <c r="FP222" s="92"/>
      <c r="FQ222" s="92"/>
      <c r="FR222" s="92"/>
      <c r="FS222" s="92"/>
      <c r="FT222" s="92"/>
      <c r="FU222" s="92"/>
    </row>
    <row r="223" spans="10:177" s="1" customFormat="1" ht="15.75"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  <c r="FM223" s="92"/>
      <c r="FN223" s="92"/>
      <c r="FO223" s="92"/>
      <c r="FP223" s="92"/>
      <c r="FQ223" s="92"/>
      <c r="FR223" s="92"/>
      <c r="FS223" s="92"/>
      <c r="FT223" s="92"/>
      <c r="FU223" s="92"/>
    </row>
    <row r="224" spans="10:177" s="1" customFormat="1" ht="15.75"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  <c r="EE224" s="92"/>
      <c r="EF224" s="92"/>
      <c r="EG224" s="92"/>
      <c r="EH224" s="92"/>
      <c r="EI224" s="92"/>
      <c r="EJ224" s="92"/>
      <c r="EK224" s="92"/>
      <c r="EL224" s="92"/>
      <c r="EM224" s="92"/>
      <c r="EN224" s="92"/>
      <c r="EO224" s="92"/>
      <c r="EP224" s="92"/>
      <c r="EQ224" s="92"/>
      <c r="ER224" s="9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</row>
    <row r="225" spans="10:177" s="1" customFormat="1" ht="15.75"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</row>
    <row r="226" spans="10:177" s="1" customFormat="1" ht="15.75"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  <c r="EE226" s="92"/>
      <c r="EF226" s="92"/>
      <c r="EG226" s="92"/>
      <c r="EH226" s="92"/>
      <c r="EI226" s="92"/>
      <c r="EJ226" s="92"/>
      <c r="EK226" s="92"/>
      <c r="EL226" s="92"/>
      <c r="EM226" s="92"/>
      <c r="EN226" s="92"/>
      <c r="EO226" s="92"/>
      <c r="EP226" s="92"/>
      <c r="EQ226" s="92"/>
      <c r="ER226" s="92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</row>
    <row r="227" spans="10:177" s="1" customFormat="1" ht="15.75"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</row>
    <row r="228" spans="10:177" s="1" customFormat="1" ht="15.75"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</row>
    <row r="229" spans="10:177" s="1" customFormat="1" ht="15.75"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</row>
    <row r="230" spans="10:177" s="1" customFormat="1" ht="15.75"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92"/>
      <c r="DZ230" s="92"/>
      <c r="EA230" s="92"/>
      <c r="EB230" s="92"/>
      <c r="EC230" s="92"/>
      <c r="ED230" s="92"/>
      <c r="EE230" s="92"/>
      <c r="EF230" s="92"/>
      <c r="EG230" s="92"/>
      <c r="EH230" s="92"/>
      <c r="EI230" s="92"/>
      <c r="EJ230" s="92"/>
      <c r="EK230" s="92"/>
      <c r="EL230" s="92"/>
      <c r="EM230" s="92"/>
      <c r="EN230" s="92"/>
      <c r="EO230" s="92"/>
      <c r="EP230" s="92"/>
      <c r="EQ230" s="92"/>
      <c r="ER230" s="92"/>
      <c r="ES230" s="92"/>
      <c r="ET230" s="92"/>
      <c r="EU230" s="92"/>
      <c r="EV230" s="92"/>
      <c r="EW230" s="92"/>
      <c r="EX230" s="92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  <c r="FM230" s="92"/>
      <c r="FN230" s="92"/>
      <c r="FO230" s="92"/>
      <c r="FP230" s="92"/>
      <c r="FQ230" s="92"/>
      <c r="FR230" s="92"/>
      <c r="FS230" s="92"/>
      <c r="FT230" s="92"/>
      <c r="FU230" s="92"/>
    </row>
    <row r="231" spans="10:177" s="1" customFormat="1" ht="15.75"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  <c r="DP231" s="92"/>
      <c r="DQ231" s="92"/>
      <c r="DR231" s="92"/>
      <c r="DS231" s="92"/>
      <c r="DT231" s="92"/>
      <c r="DU231" s="92"/>
      <c r="DV231" s="92"/>
      <c r="DW231" s="92"/>
      <c r="DX231" s="92"/>
      <c r="DY231" s="92"/>
      <c r="DZ231" s="92"/>
      <c r="EA231" s="92"/>
      <c r="EB231" s="92"/>
      <c r="EC231" s="92"/>
      <c r="ED231" s="92"/>
      <c r="EE231" s="92"/>
      <c r="EF231" s="92"/>
      <c r="EG231" s="92"/>
      <c r="EH231" s="92"/>
      <c r="EI231" s="92"/>
      <c r="EJ231" s="92"/>
      <c r="EK231" s="92"/>
      <c r="EL231" s="92"/>
      <c r="EM231" s="92"/>
      <c r="EN231" s="92"/>
      <c r="EO231" s="92"/>
      <c r="EP231" s="92"/>
      <c r="EQ231" s="92"/>
      <c r="ER231" s="92"/>
      <c r="ES231" s="92"/>
      <c r="ET231" s="92"/>
      <c r="EU231" s="92"/>
      <c r="EV231" s="92"/>
      <c r="EW231" s="92"/>
      <c r="EX231" s="92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  <c r="FM231" s="92"/>
      <c r="FN231" s="92"/>
      <c r="FO231" s="92"/>
      <c r="FP231" s="92"/>
      <c r="FQ231" s="92"/>
      <c r="FR231" s="92"/>
      <c r="FS231" s="92"/>
      <c r="FT231" s="92"/>
      <c r="FU231" s="92"/>
    </row>
    <row r="232" spans="10:177" s="1" customFormat="1" ht="15.75"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  <c r="DP232" s="92"/>
      <c r="DQ232" s="92"/>
      <c r="DR232" s="92"/>
      <c r="DS232" s="92"/>
      <c r="DT232" s="92"/>
      <c r="DU232" s="92"/>
      <c r="DV232" s="92"/>
      <c r="DW232" s="92"/>
      <c r="DX232" s="92"/>
      <c r="DY232" s="92"/>
      <c r="DZ232" s="92"/>
      <c r="EA232" s="92"/>
      <c r="EB232" s="92"/>
      <c r="EC232" s="92"/>
      <c r="ED232" s="92"/>
      <c r="EE232" s="92"/>
      <c r="EF232" s="92"/>
      <c r="EG232" s="92"/>
      <c r="EH232" s="92"/>
      <c r="EI232" s="92"/>
      <c r="EJ232" s="92"/>
      <c r="EK232" s="92"/>
      <c r="EL232" s="92"/>
      <c r="EM232" s="92"/>
      <c r="EN232" s="92"/>
      <c r="EO232" s="92"/>
      <c r="EP232" s="92"/>
      <c r="EQ232" s="92"/>
      <c r="ER232" s="92"/>
      <c r="ES232" s="92"/>
      <c r="ET232" s="92"/>
      <c r="EU232" s="92"/>
      <c r="EV232" s="92"/>
      <c r="EW232" s="92"/>
      <c r="EX232" s="92"/>
      <c r="EY232" s="92"/>
      <c r="EZ232" s="92"/>
      <c r="FA232" s="92"/>
      <c r="FB232" s="92"/>
      <c r="FC232" s="92"/>
      <c r="FD232" s="92"/>
      <c r="FE232" s="92"/>
      <c r="FF232" s="92"/>
      <c r="FG232" s="92"/>
      <c r="FH232" s="92"/>
      <c r="FI232" s="92"/>
      <c r="FJ232" s="92"/>
      <c r="FK232" s="92"/>
      <c r="FL232" s="92"/>
      <c r="FM232" s="92"/>
      <c r="FN232" s="92"/>
      <c r="FO232" s="92"/>
      <c r="FP232" s="92"/>
      <c r="FQ232" s="92"/>
      <c r="FR232" s="92"/>
      <c r="FS232" s="92"/>
      <c r="FT232" s="92"/>
      <c r="FU232" s="92"/>
    </row>
    <row r="233" spans="10:177" s="1" customFormat="1" ht="15.75"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  <c r="EE233" s="92"/>
      <c r="EF233" s="92"/>
      <c r="EG233" s="92"/>
      <c r="EH233" s="92"/>
      <c r="EI233" s="92"/>
      <c r="EJ233" s="92"/>
      <c r="EK233" s="92"/>
      <c r="EL233" s="92"/>
      <c r="EM233" s="92"/>
      <c r="EN233" s="92"/>
      <c r="EO233" s="92"/>
      <c r="EP233" s="92"/>
      <c r="EQ233" s="92"/>
      <c r="ER233" s="92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</row>
    <row r="234" spans="10:177" s="1" customFormat="1" ht="15.75"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  <c r="DP234" s="92"/>
      <c r="DQ234" s="92"/>
      <c r="DR234" s="92"/>
      <c r="DS234" s="92"/>
      <c r="DT234" s="92"/>
      <c r="DU234" s="92"/>
      <c r="DV234" s="92"/>
      <c r="DW234" s="92"/>
      <c r="DX234" s="92"/>
      <c r="DY234" s="92"/>
      <c r="DZ234" s="92"/>
      <c r="EA234" s="92"/>
      <c r="EB234" s="92"/>
      <c r="EC234" s="92"/>
      <c r="ED234" s="92"/>
      <c r="EE234" s="92"/>
      <c r="EF234" s="92"/>
      <c r="EG234" s="92"/>
      <c r="EH234" s="92"/>
      <c r="EI234" s="92"/>
      <c r="EJ234" s="92"/>
      <c r="EK234" s="92"/>
      <c r="EL234" s="92"/>
      <c r="EM234" s="92"/>
      <c r="EN234" s="92"/>
      <c r="EO234" s="92"/>
      <c r="EP234" s="92"/>
      <c r="EQ234" s="92"/>
      <c r="ER234" s="92"/>
      <c r="ES234" s="92"/>
      <c r="ET234" s="92"/>
      <c r="EU234" s="92"/>
      <c r="EV234" s="92"/>
      <c r="EW234" s="92"/>
      <c r="EX234" s="92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  <c r="FM234" s="92"/>
      <c r="FN234" s="92"/>
      <c r="FO234" s="92"/>
      <c r="FP234" s="92"/>
      <c r="FQ234" s="92"/>
      <c r="FR234" s="92"/>
      <c r="FS234" s="92"/>
      <c r="FT234" s="92"/>
      <c r="FU234" s="92"/>
    </row>
    <row r="235" spans="10:177" s="1" customFormat="1" ht="15.75"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2"/>
      <c r="DX235" s="92"/>
      <c r="DY235" s="92"/>
      <c r="DZ235" s="92"/>
      <c r="EA235" s="92"/>
      <c r="EB235" s="92"/>
      <c r="EC235" s="92"/>
      <c r="ED235" s="92"/>
      <c r="EE235" s="92"/>
      <c r="EF235" s="92"/>
      <c r="EG235" s="92"/>
      <c r="EH235" s="92"/>
      <c r="EI235" s="92"/>
      <c r="EJ235" s="92"/>
      <c r="EK235" s="92"/>
      <c r="EL235" s="92"/>
      <c r="EM235" s="92"/>
      <c r="EN235" s="92"/>
      <c r="EO235" s="92"/>
      <c r="EP235" s="92"/>
      <c r="EQ235" s="92"/>
      <c r="ER235" s="92"/>
      <c r="ES235" s="92"/>
      <c r="ET235" s="92"/>
      <c r="EU235" s="92"/>
      <c r="EV235" s="92"/>
      <c r="EW235" s="92"/>
      <c r="EX235" s="92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  <c r="FM235" s="92"/>
      <c r="FN235" s="92"/>
      <c r="FO235" s="92"/>
      <c r="FP235" s="92"/>
      <c r="FQ235" s="92"/>
      <c r="FR235" s="92"/>
      <c r="FS235" s="92"/>
      <c r="FT235" s="92"/>
      <c r="FU235" s="92"/>
    </row>
    <row r="236" spans="10:177" s="1" customFormat="1" ht="15.75"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  <c r="EE236" s="92"/>
      <c r="EF236" s="92"/>
      <c r="EG236" s="92"/>
      <c r="EH236" s="92"/>
      <c r="EI236" s="92"/>
      <c r="EJ236" s="92"/>
      <c r="EK236" s="92"/>
      <c r="EL236" s="92"/>
      <c r="EM236" s="92"/>
      <c r="EN236" s="92"/>
      <c r="EO236" s="92"/>
      <c r="EP236" s="92"/>
      <c r="EQ236" s="92"/>
      <c r="ER236" s="92"/>
      <c r="ES236" s="92"/>
      <c r="ET236" s="92"/>
      <c r="EU236" s="92"/>
      <c r="EV236" s="92"/>
      <c r="EW236" s="92"/>
      <c r="EX236" s="92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  <c r="FM236" s="92"/>
      <c r="FN236" s="92"/>
      <c r="FO236" s="92"/>
      <c r="FP236" s="92"/>
      <c r="FQ236" s="92"/>
      <c r="FR236" s="92"/>
      <c r="FS236" s="92"/>
      <c r="FT236" s="92"/>
      <c r="FU236" s="92"/>
    </row>
    <row r="237" spans="10:177" s="1" customFormat="1" ht="15.75"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</row>
    <row r="238" spans="10:177" s="1" customFormat="1" ht="15.75"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</row>
    <row r="239" spans="10:177" s="1" customFormat="1" ht="15.75"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</row>
    <row r="240" spans="10:177" s="1" customFormat="1" ht="15.75"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</row>
    <row r="241" spans="10:177" s="1" customFormat="1" ht="15.75"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</row>
    <row r="242" spans="10:177" s="1" customFormat="1" ht="15.75"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</row>
    <row r="243" spans="10:177" s="1" customFormat="1" ht="15.75"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  <c r="DM243" s="92"/>
      <c r="DN243" s="92"/>
      <c r="DO243" s="92"/>
      <c r="DP243" s="92"/>
      <c r="DQ243" s="92"/>
      <c r="DR243" s="92"/>
      <c r="DS243" s="92"/>
      <c r="DT243" s="92"/>
      <c r="DU243" s="92"/>
      <c r="DV243" s="92"/>
      <c r="DW243" s="92"/>
      <c r="DX243" s="92"/>
      <c r="DY243" s="92"/>
      <c r="DZ243" s="92"/>
      <c r="EA243" s="92"/>
      <c r="EB243" s="92"/>
      <c r="EC243" s="92"/>
      <c r="ED243" s="92"/>
      <c r="EE243" s="92"/>
      <c r="EF243" s="92"/>
      <c r="EG243" s="92"/>
      <c r="EH243" s="92"/>
      <c r="EI243" s="92"/>
      <c r="EJ243" s="92"/>
      <c r="EK243" s="92"/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  <c r="FM243" s="92"/>
      <c r="FN243" s="92"/>
      <c r="FO243" s="92"/>
      <c r="FP243" s="92"/>
      <c r="FQ243" s="92"/>
      <c r="FR243" s="92"/>
      <c r="FS243" s="92"/>
      <c r="FT243" s="92"/>
      <c r="FU243" s="92"/>
    </row>
    <row r="244" spans="10:177" s="1" customFormat="1" ht="15.75"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  <c r="DM244" s="92"/>
      <c r="DN244" s="92"/>
      <c r="DO244" s="92"/>
      <c r="DP244" s="92"/>
      <c r="DQ244" s="92"/>
      <c r="DR244" s="92"/>
      <c r="DS244" s="92"/>
      <c r="DT244" s="92"/>
      <c r="DU244" s="92"/>
      <c r="DV244" s="92"/>
      <c r="DW244" s="92"/>
      <c r="DX244" s="92"/>
      <c r="DY244" s="92"/>
      <c r="DZ244" s="92"/>
      <c r="EA244" s="92"/>
      <c r="EB244" s="92"/>
      <c r="EC244" s="92"/>
      <c r="ED244" s="92"/>
      <c r="EE244" s="92"/>
      <c r="EF244" s="92"/>
      <c r="EG244" s="92"/>
      <c r="EH244" s="92"/>
      <c r="EI244" s="92"/>
      <c r="EJ244" s="92"/>
      <c r="EK244" s="92"/>
      <c r="EL244" s="92"/>
      <c r="EM244" s="92"/>
      <c r="EN244" s="92"/>
      <c r="EO244" s="92"/>
      <c r="EP244" s="92"/>
      <c r="EQ244" s="92"/>
      <c r="ER244" s="92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</row>
    <row r="245" spans="10:177" s="1" customFormat="1" ht="15.75"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  <c r="DP245" s="92"/>
      <c r="DQ245" s="92"/>
      <c r="DR245" s="92"/>
      <c r="DS245" s="92"/>
      <c r="DT245" s="92"/>
      <c r="DU245" s="92"/>
      <c r="DV245" s="92"/>
      <c r="DW245" s="92"/>
      <c r="DX245" s="92"/>
      <c r="DY245" s="92"/>
      <c r="DZ245" s="92"/>
      <c r="EA245" s="92"/>
      <c r="EB245" s="92"/>
      <c r="EC245" s="92"/>
      <c r="ED245" s="92"/>
      <c r="EE245" s="92"/>
      <c r="EF245" s="92"/>
      <c r="EG245" s="92"/>
      <c r="EH245" s="92"/>
      <c r="EI245" s="92"/>
      <c r="EJ245" s="92"/>
      <c r="EK245" s="92"/>
      <c r="EL245" s="92"/>
      <c r="EM245" s="92"/>
      <c r="EN245" s="92"/>
      <c r="EO245" s="92"/>
      <c r="EP245" s="92"/>
      <c r="EQ245" s="92"/>
      <c r="ER245" s="9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</row>
    <row r="246" spans="10:177" s="1" customFormat="1" ht="15.75"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</row>
    <row r="247" spans="10:177" s="1" customFormat="1" ht="15.75"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</row>
    <row r="248" spans="10:177" s="1" customFormat="1" ht="15.75"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  <c r="FM248" s="92"/>
      <c r="FN248" s="92"/>
      <c r="FO248" s="92"/>
      <c r="FP248" s="92"/>
      <c r="FQ248" s="92"/>
      <c r="FR248" s="92"/>
      <c r="FS248" s="92"/>
      <c r="FT248" s="92"/>
      <c r="FU248" s="92"/>
    </row>
    <row r="249" spans="10:177" s="1" customFormat="1" ht="15.75"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  <c r="DP249" s="92"/>
      <c r="DQ249" s="92"/>
      <c r="DR249" s="92"/>
      <c r="DS249" s="92"/>
      <c r="DT249" s="92"/>
      <c r="DU249" s="92"/>
      <c r="DV249" s="92"/>
      <c r="DW249" s="92"/>
      <c r="DX249" s="92"/>
      <c r="DY249" s="92"/>
      <c r="DZ249" s="92"/>
      <c r="EA249" s="92"/>
      <c r="EB249" s="92"/>
      <c r="EC249" s="92"/>
      <c r="ED249" s="92"/>
      <c r="EE249" s="92"/>
      <c r="EF249" s="92"/>
      <c r="EG249" s="92"/>
      <c r="EH249" s="92"/>
      <c r="EI249" s="92"/>
      <c r="EJ249" s="92"/>
      <c r="EK249" s="92"/>
      <c r="EL249" s="92"/>
      <c r="EM249" s="92"/>
      <c r="EN249" s="92"/>
      <c r="EO249" s="92"/>
      <c r="EP249" s="92"/>
      <c r="EQ249" s="92"/>
      <c r="ER249" s="92"/>
      <c r="ES249" s="92"/>
      <c r="ET249" s="92"/>
      <c r="EU249" s="92"/>
      <c r="EV249" s="92"/>
      <c r="EW249" s="92"/>
      <c r="EX249" s="92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  <c r="FM249" s="92"/>
      <c r="FN249" s="92"/>
      <c r="FO249" s="92"/>
      <c r="FP249" s="92"/>
      <c r="FQ249" s="92"/>
      <c r="FR249" s="92"/>
      <c r="FS249" s="92"/>
      <c r="FT249" s="92"/>
      <c r="FU249" s="92"/>
    </row>
    <row r="250" spans="10:177" s="1" customFormat="1" ht="15.75"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  <c r="DM250" s="92"/>
      <c r="DN250" s="92"/>
      <c r="DO250" s="92"/>
      <c r="DP250" s="92"/>
      <c r="DQ250" s="92"/>
      <c r="DR250" s="92"/>
      <c r="DS250" s="92"/>
      <c r="DT250" s="92"/>
      <c r="DU250" s="92"/>
      <c r="DV250" s="92"/>
      <c r="DW250" s="92"/>
      <c r="DX250" s="92"/>
      <c r="DY250" s="92"/>
      <c r="DZ250" s="92"/>
      <c r="EA250" s="92"/>
      <c r="EB250" s="92"/>
      <c r="EC250" s="92"/>
      <c r="ED250" s="92"/>
      <c r="EE250" s="92"/>
      <c r="EF250" s="92"/>
      <c r="EG250" s="92"/>
      <c r="EH250" s="92"/>
      <c r="EI250" s="92"/>
      <c r="EJ250" s="92"/>
      <c r="EK250" s="92"/>
      <c r="EL250" s="92"/>
      <c r="EM250" s="92"/>
      <c r="EN250" s="92"/>
      <c r="EO250" s="92"/>
      <c r="EP250" s="92"/>
      <c r="EQ250" s="92"/>
      <c r="ER250" s="9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</row>
    <row r="251" spans="10:177" s="1" customFormat="1" ht="15.75"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  <c r="CZ251" s="92"/>
      <c r="DA251" s="92"/>
      <c r="DB251" s="92"/>
      <c r="DC251" s="92"/>
      <c r="DD251" s="92"/>
      <c r="DE251" s="92"/>
      <c r="DF251" s="92"/>
      <c r="DG251" s="92"/>
      <c r="DH251" s="92"/>
      <c r="DI251" s="92"/>
      <c r="DJ251" s="92"/>
      <c r="DK251" s="92"/>
      <c r="DL251" s="92"/>
      <c r="DM251" s="92"/>
      <c r="DN251" s="92"/>
      <c r="DO251" s="92"/>
      <c r="DP251" s="92"/>
      <c r="DQ251" s="92"/>
      <c r="DR251" s="92"/>
      <c r="DS251" s="92"/>
      <c r="DT251" s="92"/>
      <c r="DU251" s="92"/>
      <c r="DV251" s="92"/>
      <c r="DW251" s="92"/>
      <c r="DX251" s="92"/>
      <c r="DY251" s="92"/>
      <c r="DZ251" s="92"/>
      <c r="EA251" s="92"/>
      <c r="EB251" s="92"/>
      <c r="EC251" s="92"/>
      <c r="ED251" s="92"/>
      <c r="EE251" s="92"/>
      <c r="EF251" s="92"/>
      <c r="EG251" s="92"/>
      <c r="EH251" s="92"/>
      <c r="EI251" s="92"/>
      <c r="EJ251" s="92"/>
      <c r="EK251" s="92"/>
      <c r="EL251" s="92"/>
      <c r="EM251" s="92"/>
      <c r="EN251" s="92"/>
      <c r="EO251" s="92"/>
      <c r="EP251" s="92"/>
      <c r="EQ251" s="92"/>
      <c r="ER251" s="92"/>
      <c r="ES251" s="92"/>
      <c r="ET251" s="92"/>
      <c r="EU251" s="92"/>
      <c r="EV251" s="92"/>
      <c r="EW251" s="92"/>
      <c r="EX251" s="92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  <c r="FM251" s="92"/>
      <c r="FN251" s="92"/>
      <c r="FO251" s="92"/>
      <c r="FP251" s="92"/>
      <c r="FQ251" s="92"/>
      <c r="FR251" s="92"/>
      <c r="FS251" s="92"/>
      <c r="FT251" s="92"/>
      <c r="FU251" s="92"/>
    </row>
    <row r="252" spans="10:177" s="1" customFormat="1" ht="15.75"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  <c r="CZ252" s="92"/>
      <c r="DA252" s="92"/>
      <c r="DB252" s="92"/>
      <c r="DC252" s="92"/>
      <c r="DD252" s="92"/>
      <c r="DE252" s="92"/>
      <c r="DF252" s="92"/>
      <c r="DG252" s="92"/>
      <c r="DH252" s="92"/>
      <c r="DI252" s="92"/>
      <c r="DJ252" s="92"/>
      <c r="DK252" s="92"/>
      <c r="DL252" s="92"/>
      <c r="DM252" s="92"/>
      <c r="DN252" s="92"/>
      <c r="DO252" s="92"/>
      <c r="DP252" s="92"/>
      <c r="DQ252" s="92"/>
      <c r="DR252" s="92"/>
      <c r="DS252" s="92"/>
      <c r="DT252" s="92"/>
      <c r="DU252" s="92"/>
      <c r="DV252" s="92"/>
      <c r="DW252" s="92"/>
      <c r="DX252" s="92"/>
      <c r="DY252" s="92"/>
      <c r="DZ252" s="92"/>
      <c r="EA252" s="92"/>
      <c r="EB252" s="92"/>
      <c r="EC252" s="92"/>
      <c r="ED252" s="92"/>
      <c r="EE252" s="92"/>
      <c r="EF252" s="92"/>
      <c r="EG252" s="92"/>
      <c r="EH252" s="92"/>
      <c r="EI252" s="92"/>
      <c r="EJ252" s="92"/>
      <c r="EK252" s="92"/>
      <c r="EL252" s="92"/>
      <c r="EM252" s="92"/>
      <c r="EN252" s="92"/>
      <c r="EO252" s="92"/>
      <c r="EP252" s="92"/>
      <c r="EQ252" s="92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  <c r="FM252" s="92"/>
      <c r="FN252" s="92"/>
      <c r="FO252" s="92"/>
      <c r="FP252" s="92"/>
      <c r="FQ252" s="92"/>
      <c r="FR252" s="92"/>
      <c r="FS252" s="92"/>
      <c r="FT252" s="92"/>
      <c r="FU252" s="92"/>
    </row>
    <row r="253" spans="10:177" s="1" customFormat="1" ht="15.75"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  <c r="DM253" s="92"/>
      <c r="DN253" s="92"/>
      <c r="DO253" s="92"/>
      <c r="DP253" s="92"/>
      <c r="DQ253" s="92"/>
      <c r="DR253" s="92"/>
      <c r="DS253" s="92"/>
      <c r="DT253" s="92"/>
      <c r="DU253" s="92"/>
      <c r="DV253" s="92"/>
      <c r="DW253" s="92"/>
      <c r="DX253" s="92"/>
      <c r="DY253" s="92"/>
      <c r="DZ253" s="92"/>
      <c r="EA253" s="92"/>
      <c r="EB253" s="92"/>
      <c r="EC253" s="92"/>
      <c r="ED253" s="92"/>
      <c r="EE253" s="92"/>
      <c r="EF253" s="92"/>
      <c r="EG253" s="92"/>
      <c r="EH253" s="92"/>
      <c r="EI253" s="92"/>
      <c r="EJ253" s="92"/>
      <c r="EK253" s="92"/>
      <c r="EL253" s="92"/>
      <c r="EM253" s="92"/>
      <c r="EN253" s="92"/>
      <c r="EO253" s="92"/>
      <c r="EP253" s="92"/>
      <c r="EQ253" s="92"/>
      <c r="ER253" s="92"/>
      <c r="ES253" s="92"/>
      <c r="ET253" s="92"/>
      <c r="EU253" s="92"/>
      <c r="EV253" s="92"/>
      <c r="EW253" s="92"/>
      <c r="EX253" s="92"/>
      <c r="EY253" s="92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  <c r="FJ253" s="92"/>
      <c r="FK253" s="92"/>
      <c r="FL253" s="92"/>
      <c r="FM253" s="92"/>
      <c r="FN253" s="92"/>
      <c r="FO253" s="92"/>
      <c r="FP253" s="92"/>
      <c r="FQ253" s="92"/>
      <c r="FR253" s="92"/>
      <c r="FS253" s="92"/>
      <c r="FT253" s="92"/>
      <c r="FU253" s="92"/>
    </row>
    <row r="254" spans="10:177" s="1" customFormat="1" ht="15.75"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  <c r="DM254" s="92"/>
      <c r="DN254" s="92"/>
      <c r="DO254" s="92"/>
      <c r="DP254" s="92"/>
      <c r="DQ254" s="92"/>
      <c r="DR254" s="92"/>
      <c r="DS254" s="92"/>
      <c r="DT254" s="92"/>
      <c r="DU254" s="92"/>
      <c r="DV254" s="92"/>
      <c r="DW254" s="92"/>
      <c r="DX254" s="92"/>
      <c r="DY254" s="92"/>
      <c r="DZ254" s="92"/>
      <c r="EA254" s="92"/>
      <c r="EB254" s="92"/>
      <c r="EC254" s="92"/>
      <c r="ED254" s="92"/>
      <c r="EE254" s="92"/>
      <c r="EF254" s="92"/>
      <c r="EG254" s="92"/>
      <c r="EH254" s="92"/>
      <c r="EI254" s="92"/>
      <c r="EJ254" s="92"/>
      <c r="EK254" s="92"/>
      <c r="EL254" s="92"/>
      <c r="EM254" s="92"/>
      <c r="EN254" s="92"/>
      <c r="EO254" s="92"/>
      <c r="EP254" s="92"/>
      <c r="EQ254" s="92"/>
      <c r="ER254" s="92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  <c r="FM254" s="92"/>
      <c r="FN254" s="92"/>
      <c r="FO254" s="92"/>
      <c r="FP254" s="92"/>
      <c r="FQ254" s="92"/>
      <c r="FR254" s="92"/>
      <c r="FS254" s="92"/>
      <c r="FT254" s="92"/>
      <c r="FU254" s="92"/>
    </row>
    <row r="255" spans="10:177" s="1" customFormat="1" ht="15.75"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  <c r="CZ255" s="92"/>
      <c r="DA255" s="92"/>
      <c r="DB255" s="92"/>
      <c r="DC255" s="92"/>
      <c r="DD255" s="92"/>
      <c r="DE255" s="92"/>
      <c r="DF255" s="92"/>
      <c r="DG255" s="92"/>
      <c r="DH255" s="92"/>
      <c r="DI255" s="92"/>
      <c r="DJ255" s="92"/>
      <c r="DK255" s="92"/>
      <c r="DL255" s="92"/>
      <c r="DM255" s="92"/>
      <c r="DN255" s="92"/>
      <c r="DO255" s="92"/>
      <c r="DP255" s="92"/>
      <c r="DQ255" s="92"/>
      <c r="DR255" s="92"/>
      <c r="DS255" s="92"/>
      <c r="DT255" s="92"/>
      <c r="DU255" s="92"/>
      <c r="DV255" s="92"/>
      <c r="DW255" s="92"/>
      <c r="DX255" s="92"/>
      <c r="DY255" s="92"/>
      <c r="DZ255" s="92"/>
      <c r="EA255" s="92"/>
      <c r="EB255" s="92"/>
      <c r="EC255" s="92"/>
      <c r="ED255" s="92"/>
      <c r="EE255" s="92"/>
      <c r="EF255" s="92"/>
      <c r="EG255" s="92"/>
      <c r="EH255" s="92"/>
      <c r="EI255" s="92"/>
      <c r="EJ255" s="92"/>
      <c r="EK255" s="92"/>
      <c r="EL255" s="92"/>
      <c r="EM255" s="92"/>
      <c r="EN255" s="92"/>
      <c r="EO255" s="92"/>
      <c r="EP255" s="92"/>
      <c r="EQ255" s="92"/>
      <c r="ER255" s="92"/>
      <c r="ES255" s="92"/>
      <c r="ET255" s="92"/>
      <c r="EU255" s="92"/>
      <c r="EV255" s="92"/>
      <c r="EW255" s="92"/>
      <c r="EX255" s="92"/>
      <c r="EY255" s="92"/>
      <c r="EZ255" s="92"/>
      <c r="FA255" s="92"/>
      <c r="FB255" s="92"/>
      <c r="FC255" s="92"/>
      <c r="FD255" s="92"/>
      <c r="FE255" s="92"/>
      <c r="FF255" s="92"/>
      <c r="FG255" s="92"/>
      <c r="FH255" s="92"/>
      <c r="FI255" s="92"/>
      <c r="FJ255" s="92"/>
      <c r="FK255" s="92"/>
      <c r="FL255" s="92"/>
      <c r="FM255" s="92"/>
      <c r="FN255" s="92"/>
      <c r="FO255" s="92"/>
      <c r="FP255" s="92"/>
      <c r="FQ255" s="92"/>
      <c r="FR255" s="92"/>
      <c r="FS255" s="92"/>
      <c r="FT255" s="92"/>
      <c r="FU255" s="92"/>
    </row>
    <row r="256" spans="10:177" s="1" customFormat="1" ht="15.75"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/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/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  <c r="FM256" s="92"/>
      <c r="FN256" s="92"/>
      <c r="FO256" s="92"/>
      <c r="FP256" s="92"/>
      <c r="FQ256" s="92"/>
      <c r="FR256" s="92"/>
      <c r="FS256" s="92"/>
      <c r="FT256" s="92"/>
      <c r="FU256" s="92"/>
    </row>
    <row r="257" spans="10:177" s="1" customFormat="1" ht="15.75"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  <c r="CY257" s="92"/>
      <c r="CZ257" s="92"/>
      <c r="DA257" s="92"/>
      <c r="DB257" s="92"/>
      <c r="DC257" s="92"/>
      <c r="DD257" s="92"/>
      <c r="DE257" s="92"/>
      <c r="DF257" s="92"/>
      <c r="DG257" s="92"/>
      <c r="DH257" s="92"/>
      <c r="DI257" s="92"/>
      <c r="DJ257" s="92"/>
      <c r="DK257" s="92"/>
      <c r="DL257" s="92"/>
      <c r="DM257" s="92"/>
      <c r="DN257" s="92"/>
      <c r="DO257" s="92"/>
      <c r="DP257" s="92"/>
      <c r="DQ257" s="92"/>
      <c r="DR257" s="92"/>
      <c r="DS257" s="92"/>
      <c r="DT257" s="92"/>
      <c r="DU257" s="92"/>
      <c r="DV257" s="92"/>
      <c r="DW257" s="92"/>
      <c r="DX257" s="92"/>
      <c r="DY257" s="92"/>
      <c r="DZ257" s="92"/>
      <c r="EA257" s="92"/>
      <c r="EB257" s="92"/>
      <c r="EC257" s="92"/>
      <c r="ED257" s="92"/>
      <c r="EE257" s="92"/>
      <c r="EF257" s="92"/>
      <c r="EG257" s="92"/>
      <c r="EH257" s="92"/>
      <c r="EI257" s="92"/>
      <c r="EJ257" s="92"/>
      <c r="EK257" s="92"/>
      <c r="EL257" s="92"/>
      <c r="EM257" s="92"/>
      <c r="EN257" s="92"/>
      <c r="EO257" s="92"/>
      <c r="EP257" s="92"/>
      <c r="EQ257" s="92"/>
      <c r="ER257" s="92"/>
      <c r="ES257" s="92"/>
      <c r="ET257" s="92"/>
      <c r="EU257" s="92"/>
      <c r="EV257" s="92"/>
      <c r="EW257" s="92"/>
      <c r="EX257" s="92"/>
      <c r="EY257" s="92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  <c r="FJ257" s="92"/>
      <c r="FK257" s="92"/>
      <c r="FL257" s="92"/>
      <c r="FM257" s="92"/>
      <c r="FN257" s="92"/>
      <c r="FO257" s="92"/>
      <c r="FP257" s="92"/>
      <c r="FQ257" s="92"/>
      <c r="FR257" s="92"/>
      <c r="FS257" s="92"/>
      <c r="FT257" s="92"/>
      <c r="FU257" s="92"/>
    </row>
    <row r="258" spans="10:177" s="1" customFormat="1" ht="15.75"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/>
      <c r="DC258" s="92"/>
      <c r="DD258" s="92"/>
      <c r="DE258" s="92"/>
      <c r="DF258" s="92"/>
      <c r="DG258" s="92"/>
      <c r="DH258" s="92"/>
      <c r="DI258" s="92"/>
      <c r="DJ258" s="92"/>
      <c r="DK258" s="92"/>
      <c r="DL258" s="92"/>
      <c r="DM258" s="92"/>
      <c r="DN258" s="92"/>
      <c r="DO258" s="92"/>
      <c r="DP258" s="92"/>
      <c r="DQ258" s="92"/>
      <c r="DR258" s="92"/>
      <c r="DS258" s="92"/>
      <c r="DT258" s="92"/>
      <c r="DU258" s="92"/>
      <c r="DV258" s="92"/>
      <c r="DW258" s="92"/>
      <c r="DX258" s="92"/>
      <c r="DY258" s="92"/>
      <c r="DZ258" s="92"/>
      <c r="EA258" s="92"/>
      <c r="EB258" s="92"/>
      <c r="EC258" s="92"/>
      <c r="ED258" s="92"/>
      <c r="EE258" s="92"/>
      <c r="EF258" s="92"/>
      <c r="EG258" s="92"/>
      <c r="EH258" s="92"/>
      <c r="EI258" s="92"/>
      <c r="EJ258" s="92"/>
      <c r="EK258" s="92"/>
      <c r="EL258" s="92"/>
      <c r="EM258" s="92"/>
      <c r="EN258" s="92"/>
      <c r="EO258" s="92"/>
      <c r="EP258" s="92"/>
      <c r="EQ258" s="92"/>
      <c r="ER258" s="92"/>
      <c r="ES258" s="92"/>
      <c r="ET258" s="92"/>
      <c r="EU258" s="92"/>
      <c r="EV258" s="92"/>
      <c r="EW258" s="92"/>
      <c r="EX258" s="92"/>
      <c r="EY258" s="92"/>
      <c r="EZ258" s="92"/>
      <c r="FA258" s="92"/>
      <c r="FB258" s="92"/>
      <c r="FC258" s="92"/>
      <c r="FD258" s="92"/>
      <c r="FE258" s="92"/>
      <c r="FF258" s="92"/>
      <c r="FG258" s="92"/>
      <c r="FH258" s="92"/>
      <c r="FI258" s="92"/>
      <c r="FJ258" s="92"/>
      <c r="FK258" s="92"/>
      <c r="FL258" s="92"/>
      <c r="FM258" s="92"/>
      <c r="FN258" s="92"/>
      <c r="FO258" s="92"/>
      <c r="FP258" s="92"/>
      <c r="FQ258" s="92"/>
      <c r="FR258" s="92"/>
      <c r="FS258" s="92"/>
      <c r="FT258" s="92"/>
      <c r="FU258" s="92"/>
    </row>
    <row r="259" spans="10:177" s="1" customFormat="1" ht="15.75"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  <c r="CZ259" s="92"/>
      <c r="DA259" s="92"/>
      <c r="DB259" s="92"/>
      <c r="DC259" s="92"/>
      <c r="DD259" s="92"/>
      <c r="DE259" s="92"/>
      <c r="DF259" s="92"/>
      <c r="DG259" s="92"/>
      <c r="DH259" s="92"/>
      <c r="DI259" s="92"/>
      <c r="DJ259" s="92"/>
      <c r="DK259" s="92"/>
      <c r="DL259" s="92"/>
      <c r="DM259" s="92"/>
      <c r="DN259" s="92"/>
      <c r="DO259" s="92"/>
      <c r="DP259" s="92"/>
      <c r="DQ259" s="92"/>
      <c r="DR259" s="92"/>
      <c r="DS259" s="92"/>
      <c r="DT259" s="92"/>
      <c r="DU259" s="92"/>
      <c r="DV259" s="92"/>
      <c r="DW259" s="92"/>
      <c r="DX259" s="92"/>
      <c r="DY259" s="92"/>
      <c r="DZ259" s="92"/>
      <c r="EA259" s="92"/>
      <c r="EB259" s="92"/>
      <c r="EC259" s="92"/>
      <c r="ED259" s="92"/>
      <c r="EE259" s="92"/>
      <c r="EF259" s="92"/>
      <c r="EG259" s="92"/>
      <c r="EH259" s="92"/>
      <c r="EI259" s="92"/>
      <c r="EJ259" s="92"/>
      <c r="EK259" s="92"/>
      <c r="EL259" s="92"/>
      <c r="EM259" s="92"/>
      <c r="EN259" s="92"/>
      <c r="EO259" s="92"/>
      <c r="EP259" s="92"/>
      <c r="EQ259" s="92"/>
      <c r="ER259" s="92"/>
      <c r="ES259" s="92"/>
      <c r="ET259" s="92"/>
      <c r="EU259" s="92"/>
      <c r="EV259" s="92"/>
      <c r="EW259" s="92"/>
      <c r="EX259" s="92"/>
      <c r="EY259" s="92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  <c r="FM259" s="92"/>
      <c r="FN259" s="92"/>
      <c r="FO259" s="92"/>
      <c r="FP259" s="92"/>
      <c r="FQ259" s="92"/>
      <c r="FR259" s="92"/>
      <c r="FS259" s="92"/>
      <c r="FT259" s="92"/>
      <c r="FU259" s="92"/>
    </row>
    <row r="260" spans="10:177" s="1" customFormat="1" ht="15.75"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  <c r="CZ260" s="92"/>
      <c r="DA260" s="92"/>
      <c r="DB260" s="92"/>
      <c r="DC260" s="92"/>
      <c r="DD260" s="92"/>
      <c r="DE260" s="92"/>
      <c r="DF260" s="92"/>
      <c r="DG260" s="92"/>
      <c r="DH260" s="92"/>
      <c r="DI260" s="92"/>
      <c r="DJ260" s="92"/>
      <c r="DK260" s="92"/>
      <c r="DL260" s="92"/>
      <c r="DM260" s="92"/>
      <c r="DN260" s="92"/>
      <c r="DO260" s="92"/>
      <c r="DP260" s="92"/>
      <c r="DQ260" s="92"/>
      <c r="DR260" s="92"/>
      <c r="DS260" s="92"/>
      <c r="DT260" s="92"/>
      <c r="DU260" s="92"/>
      <c r="DV260" s="92"/>
      <c r="DW260" s="92"/>
      <c r="DX260" s="92"/>
      <c r="DY260" s="92"/>
      <c r="DZ260" s="92"/>
      <c r="EA260" s="92"/>
      <c r="EB260" s="92"/>
      <c r="EC260" s="92"/>
      <c r="ED260" s="92"/>
      <c r="EE260" s="92"/>
      <c r="EF260" s="92"/>
      <c r="EG260" s="92"/>
      <c r="EH260" s="92"/>
      <c r="EI260" s="92"/>
      <c r="EJ260" s="92"/>
      <c r="EK260" s="92"/>
      <c r="EL260" s="92"/>
      <c r="EM260" s="92"/>
      <c r="EN260" s="92"/>
      <c r="EO260" s="92"/>
      <c r="EP260" s="92"/>
      <c r="EQ260" s="92"/>
      <c r="ER260" s="92"/>
      <c r="ES260" s="92"/>
      <c r="ET260" s="92"/>
      <c r="EU260" s="92"/>
      <c r="EV260" s="92"/>
      <c r="EW260" s="92"/>
      <c r="EX260" s="92"/>
      <c r="EY260" s="92"/>
      <c r="EZ260" s="92"/>
      <c r="FA260" s="92"/>
      <c r="FB260" s="92"/>
      <c r="FC260" s="92"/>
      <c r="FD260" s="92"/>
      <c r="FE260" s="92"/>
      <c r="FF260" s="92"/>
      <c r="FG260" s="92"/>
      <c r="FH260" s="92"/>
      <c r="FI260" s="92"/>
      <c r="FJ260" s="92"/>
      <c r="FK260" s="92"/>
      <c r="FL260" s="92"/>
      <c r="FM260" s="92"/>
      <c r="FN260" s="92"/>
      <c r="FO260" s="92"/>
      <c r="FP260" s="92"/>
      <c r="FQ260" s="92"/>
      <c r="FR260" s="92"/>
      <c r="FS260" s="92"/>
      <c r="FT260" s="92"/>
      <c r="FU260" s="92"/>
    </row>
    <row r="261" spans="10:177" s="1" customFormat="1" ht="15.75"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  <c r="CZ261" s="92"/>
      <c r="DA261" s="92"/>
      <c r="DB261" s="92"/>
      <c r="DC261" s="92"/>
      <c r="DD261" s="92"/>
      <c r="DE261" s="92"/>
      <c r="DF261" s="92"/>
      <c r="DG261" s="92"/>
      <c r="DH261" s="92"/>
      <c r="DI261" s="92"/>
      <c r="DJ261" s="92"/>
      <c r="DK261" s="92"/>
      <c r="DL261" s="92"/>
      <c r="DM261" s="92"/>
      <c r="DN261" s="92"/>
      <c r="DO261" s="92"/>
      <c r="DP261" s="92"/>
      <c r="DQ261" s="92"/>
      <c r="DR261" s="92"/>
      <c r="DS261" s="92"/>
      <c r="DT261" s="92"/>
      <c r="DU261" s="92"/>
      <c r="DV261" s="92"/>
      <c r="DW261" s="92"/>
      <c r="DX261" s="92"/>
      <c r="DY261" s="92"/>
      <c r="DZ261" s="92"/>
      <c r="EA261" s="92"/>
      <c r="EB261" s="92"/>
      <c r="EC261" s="92"/>
      <c r="ED261" s="92"/>
      <c r="EE261" s="92"/>
      <c r="EF261" s="92"/>
      <c r="EG261" s="92"/>
      <c r="EH261" s="92"/>
      <c r="EI261" s="92"/>
      <c r="EJ261" s="92"/>
      <c r="EK261" s="92"/>
      <c r="EL261" s="92"/>
      <c r="EM261" s="92"/>
      <c r="EN261" s="92"/>
      <c r="EO261" s="92"/>
      <c r="EP261" s="92"/>
      <c r="EQ261" s="92"/>
      <c r="ER261" s="92"/>
      <c r="ES261" s="92"/>
      <c r="ET261" s="92"/>
      <c r="EU261" s="92"/>
      <c r="EV261" s="92"/>
      <c r="EW261" s="92"/>
      <c r="EX261" s="92"/>
      <c r="EY261" s="92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  <c r="FM261" s="92"/>
      <c r="FN261" s="92"/>
      <c r="FO261" s="92"/>
      <c r="FP261" s="92"/>
      <c r="FQ261" s="92"/>
      <c r="FR261" s="92"/>
      <c r="FS261" s="92"/>
      <c r="FT261" s="92"/>
      <c r="FU261" s="92"/>
    </row>
    <row r="262" spans="10:177" s="1" customFormat="1" ht="15.75"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2"/>
      <c r="DX262" s="92"/>
      <c r="DY262" s="92"/>
      <c r="DZ262" s="92"/>
      <c r="EA262" s="92"/>
      <c r="EB262" s="92"/>
      <c r="EC262" s="92"/>
      <c r="ED262" s="92"/>
      <c r="EE262" s="92"/>
      <c r="EF262" s="92"/>
      <c r="EG262" s="92"/>
      <c r="EH262" s="92"/>
      <c r="EI262" s="92"/>
      <c r="EJ262" s="92"/>
      <c r="EK262" s="92"/>
      <c r="EL262" s="92"/>
      <c r="EM262" s="92"/>
      <c r="EN262" s="92"/>
      <c r="EO262" s="92"/>
      <c r="EP262" s="92"/>
      <c r="EQ262" s="92"/>
      <c r="ER262" s="92"/>
      <c r="ES262" s="92"/>
      <c r="ET262" s="92"/>
      <c r="EU262" s="92"/>
      <c r="EV262" s="92"/>
      <c r="EW262" s="92"/>
      <c r="EX262" s="92"/>
      <c r="EY262" s="92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  <c r="FM262" s="92"/>
      <c r="FN262" s="92"/>
      <c r="FO262" s="92"/>
      <c r="FP262" s="92"/>
      <c r="FQ262" s="92"/>
      <c r="FR262" s="92"/>
      <c r="FS262" s="92"/>
      <c r="FT262" s="92"/>
      <c r="FU262" s="92"/>
    </row>
    <row r="263" spans="10:177" s="1" customFormat="1" ht="15.75"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2"/>
      <c r="DX263" s="92"/>
      <c r="DY263" s="92"/>
      <c r="DZ263" s="92"/>
      <c r="EA263" s="92"/>
      <c r="EB263" s="92"/>
      <c r="EC263" s="92"/>
      <c r="ED263" s="92"/>
      <c r="EE263" s="92"/>
      <c r="EF263" s="92"/>
      <c r="EG263" s="92"/>
      <c r="EH263" s="92"/>
      <c r="EI263" s="92"/>
      <c r="EJ263" s="92"/>
      <c r="EK263" s="92"/>
      <c r="EL263" s="92"/>
      <c r="EM263" s="92"/>
      <c r="EN263" s="92"/>
      <c r="EO263" s="92"/>
      <c r="EP263" s="92"/>
      <c r="EQ263" s="92"/>
      <c r="ER263" s="92"/>
      <c r="ES263" s="92"/>
      <c r="ET263" s="92"/>
      <c r="EU263" s="92"/>
      <c r="EV263" s="92"/>
      <c r="EW263" s="92"/>
      <c r="EX263" s="92"/>
      <c r="EY263" s="92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  <c r="FM263" s="92"/>
      <c r="FN263" s="92"/>
      <c r="FO263" s="92"/>
      <c r="FP263" s="92"/>
      <c r="FQ263" s="92"/>
      <c r="FR263" s="92"/>
      <c r="FS263" s="92"/>
      <c r="FT263" s="92"/>
      <c r="FU263" s="92"/>
    </row>
    <row r="264" spans="10:177" s="1" customFormat="1" ht="15.75"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  <c r="EM264" s="92"/>
      <c r="EN264" s="92"/>
      <c r="EO264" s="92"/>
      <c r="EP264" s="92"/>
      <c r="EQ264" s="92"/>
      <c r="ER264" s="9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  <c r="FM264" s="92"/>
      <c r="FN264" s="92"/>
      <c r="FO264" s="92"/>
      <c r="FP264" s="92"/>
      <c r="FQ264" s="92"/>
      <c r="FR264" s="92"/>
      <c r="FS264" s="92"/>
      <c r="FT264" s="92"/>
      <c r="FU264" s="92"/>
    </row>
    <row r="265" spans="10:177" s="1" customFormat="1" ht="15.75"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  <c r="CY265" s="92"/>
      <c r="CZ265" s="92"/>
      <c r="DA265" s="92"/>
      <c r="DB265" s="92"/>
      <c r="DC265" s="92"/>
      <c r="DD265" s="92"/>
      <c r="DE265" s="92"/>
      <c r="DF265" s="92"/>
      <c r="DG265" s="92"/>
      <c r="DH265" s="92"/>
      <c r="DI265" s="92"/>
      <c r="DJ265" s="92"/>
      <c r="DK265" s="92"/>
      <c r="DL265" s="92"/>
      <c r="DM265" s="92"/>
      <c r="DN265" s="92"/>
      <c r="DO265" s="92"/>
      <c r="DP265" s="92"/>
      <c r="DQ265" s="92"/>
      <c r="DR265" s="92"/>
      <c r="DS265" s="92"/>
      <c r="DT265" s="92"/>
      <c r="DU265" s="92"/>
      <c r="DV265" s="92"/>
      <c r="DW265" s="92"/>
      <c r="DX265" s="92"/>
      <c r="DY265" s="92"/>
      <c r="DZ265" s="92"/>
      <c r="EA265" s="92"/>
      <c r="EB265" s="92"/>
      <c r="EC265" s="92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2"/>
      <c r="FH265" s="92"/>
      <c r="FI265" s="92"/>
      <c r="FJ265" s="92"/>
      <c r="FK265" s="92"/>
      <c r="FL265" s="92"/>
      <c r="FM265" s="92"/>
      <c r="FN265" s="92"/>
      <c r="FO265" s="92"/>
      <c r="FP265" s="92"/>
      <c r="FQ265" s="92"/>
      <c r="FR265" s="92"/>
      <c r="FS265" s="92"/>
      <c r="FT265" s="92"/>
      <c r="FU265" s="92"/>
    </row>
    <row r="266" spans="10:177" s="1" customFormat="1" ht="15.75"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2"/>
      <c r="DX266" s="92"/>
      <c r="DY266" s="92"/>
      <c r="DZ266" s="92"/>
      <c r="EA266" s="92"/>
      <c r="EB266" s="92"/>
      <c r="EC266" s="92"/>
      <c r="ED266" s="92"/>
      <c r="EE266" s="92"/>
      <c r="EF266" s="92"/>
      <c r="EG266" s="92"/>
      <c r="EH266" s="92"/>
      <c r="EI266" s="92"/>
      <c r="EJ266" s="92"/>
      <c r="EK266" s="92"/>
      <c r="EL266" s="92"/>
      <c r="EM266" s="92"/>
      <c r="EN266" s="92"/>
      <c r="EO266" s="92"/>
      <c r="EP266" s="92"/>
      <c r="EQ266" s="92"/>
      <c r="ER266" s="92"/>
      <c r="ES266" s="92"/>
      <c r="ET266" s="92"/>
      <c r="EU266" s="92"/>
      <c r="EV266" s="92"/>
      <c r="EW266" s="92"/>
      <c r="EX266" s="92"/>
      <c r="EY266" s="92"/>
      <c r="EZ266" s="92"/>
      <c r="FA266" s="92"/>
      <c r="FB266" s="92"/>
      <c r="FC266" s="92"/>
      <c r="FD266" s="92"/>
      <c r="FE266" s="92"/>
      <c r="FF266" s="92"/>
      <c r="FG266" s="92"/>
      <c r="FH266" s="92"/>
      <c r="FI266" s="92"/>
      <c r="FJ266" s="92"/>
      <c r="FK266" s="92"/>
      <c r="FL266" s="92"/>
      <c r="FM266" s="92"/>
      <c r="FN266" s="92"/>
      <c r="FO266" s="92"/>
      <c r="FP266" s="92"/>
      <c r="FQ266" s="92"/>
      <c r="FR266" s="92"/>
      <c r="FS266" s="92"/>
      <c r="FT266" s="92"/>
      <c r="FU266" s="92"/>
    </row>
    <row r="267" spans="10:177" s="1" customFormat="1" ht="15.75"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  <c r="CZ267" s="92"/>
      <c r="DA267" s="92"/>
      <c r="DB267" s="92"/>
      <c r="DC267" s="92"/>
      <c r="DD267" s="92"/>
      <c r="DE267" s="92"/>
      <c r="DF267" s="92"/>
      <c r="DG267" s="92"/>
      <c r="DH267" s="92"/>
      <c r="DI267" s="92"/>
      <c r="DJ267" s="92"/>
      <c r="DK267" s="92"/>
      <c r="DL267" s="92"/>
      <c r="DM267" s="92"/>
      <c r="DN267" s="92"/>
      <c r="DO267" s="92"/>
      <c r="DP267" s="92"/>
      <c r="DQ267" s="92"/>
      <c r="DR267" s="92"/>
      <c r="DS267" s="92"/>
      <c r="DT267" s="92"/>
      <c r="DU267" s="92"/>
      <c r="DV267" s="92"/>
      <c r="DW267" s="92"/>
      <c r="DX267" s="92"/>
      <c r="DY267" s="92"/>
      <c r="DZ267" s="92"/>
      <c r="EA267" s="92"/>
      <c r="EB267" s="92"/>
      <c r="EC267" s="92"/>
      <c r="ED267" s="92"/>
      <c r="EE267" s="92"/>
      <c r="EF267" s="92"/>
      <c r="EG267" s="92"/>
      <c r="EH267" s="92"/>
      <c r="EI267" s="92"/>
      <c r="EJ267" s="92"/>
      <c r="EK267" s="92"/>
      <c r="EL267" s="92"/>
      <c r="EM267" s="92"/>
      <c r="EN267" s="92"/>
      <c r="EO267" s="92"/>
      <c r="EP267" s="92"/>
      <c r="EQ267" s="92"/>
      <c r="ER267" s="92"/>
      <c r="ES267" s="92"/>
      <c r="ET267" s="92"/>
      <c r="EU267" s="92"/>
      <c r="EV267" s="92"/>
      <c r="EW267" s="92"/>
      <c r="EX267" s="92"/>
      <c r="EY267" s="92"/>
      <c r="EZ267" s="92"/>
      <c r="FA267" s="92"/>
      <c r="FB267" s="92"/>
      <c r="FC267" s="92"/>
      <c r="FD267" s="92"/>
      <c r="FE267" s="92"/>
      <c r="FF267" s="92"/>
      <c r="FG267" s="92"/>
      <c r="FH267" s="92"/>
      <c r="FI267" s="92"/>
      <c r="FJ267" s="92"/>
      <c r="FK267" s="92"/>
      <c r="FL267" s="92"/>
      <c r="FM267" s="92"/>
      <c r="FN267" s="92"/>
      <c r="FO267" s="92"/>
      <c r="FP267" s="92"/>
      <c r="FQ267" s="92"/>
      <c r="FR267" s="92"/>
      <c r="FS267" s="92"/>
      <c r="FT267" s="92"/>
      <c r="FU267" s="92"/>
    </row>
    <row r="268" spans="10:177" s="1" customFormat="1" ht="15.75"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  <c r="DM268" s="92"/>
      <c r="DN268" s="92"/>
      <c r="DO268" s="92"/>
      <c r="DP268" s="92"/>
      <c r="DQ268" s="92"/>
      <c r="DR268" s="92"/>
      <c r="DS268" s="92"/>
      <c r="DT268" s="92"/>
      <c r="DU268" s="92"/>
      <c r="DV268" s="92"/>
      <c r="DW268" s="92"/>
      <c r="DX268" s="92"/>
      <c r="DY268" s="92"/>
      <c r="DZ268" s="92"/>
      <c r="EA268" s="92"/>
      <c r="EB268" s="92"/>
      <c r="EC268" s="92"/>
      <c r="ED268" s="92"/>
      <c r="EE268" s="92"/>
      <c r="EF268" s="92"/>
      <c r="EG268" s="92"/>
      <c r="EH268" s="92"/>
      <c r="EI268" s="92"/>
      <c r="EJ268" s="92"/>
      <c r="EK268" s="92"/>
      <c r="EL268" s="92"/>
      <c r="EM268" s="92"/>
      <c r="EN268" s="92"/>
      <c r="EO268" s="92"/>
      <c r="EP268" s="92"/>
      <c r="EQ268" s="92"/>
      <c r="ER268" s="92"/>
      <c r="ES268" s="92"/>
      <c r="ET268" s="92"/>
      <c r="EU268" s="92"/>
      <c r="EV268" s="92"/>
      <c r="EW268" s="92"/>
      <c r="EX268" s="92"/>
      <c r="EY268" s="92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  <c r="FJ268" s="92"/>
      <c r="FK268" s="92"/>
      <c r="FL268" s="92"/>
      <c r="FM268" s="92"/>
      <c r="FN268" s="92"/>
      <c r="FO268" s="92"/>
      <c r="FP268" s="92"/>
      <c r="FQ268" s="92"/>
      <c r="FR268" s="92"/>
      <c r="FS268" s="92"/>
      <c r="FT268" s="92"/>
      <c r="FU268" s="92"/>
    </row>
    <row r="269" spans="10:177" s="1" customFormat="1" ht="15.75"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  <c r="FM269" s="92"/>
      <c r="FN269" s="92"/>
      <c r="FO269" s="92"/>
      <c r="FP269" s="92"/>
      <c r="FQ269" s="92"/>
      <c r="FR269" s="92"/>
      <c r="FS269" s="92"/>
      <c r="FT269" s="92"/>
      <c r="FU269" s="92"/>
    </row>
    <row r="270" spans="10:177" s="1" customFormat="1" ht="15.75"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2"/>
      <c r="DF270" s="92"/>
      <c r="DG270" s="92"/>
      <c r="DH270" s="92"/>
      <c r="DI270" s="92"/>
      <c r="DJ270" s="92"/>
      <c r="DK270" s="92"/>
      <c r="DL270" s="92"/>
      <c r="DM270" s="92"/>
      <c r="DN270" s="92"/>
      <c r="DO270" s="92"/>
      <c r="DP270" s="92"/>
      <c r="DQ270" s="92"/>
      <c r="DR270" s="92"/>
      <c r="DS270" s="92"/>
      <c r="DT270" s="92"/>
      <c r="DU270" s="92"/>
      <c r="DV270" s="92"/>
      <c r="DW270" s="92"/>
      <c r="DX270" s="92"/>
      <c r="DY270" s="92"/>
      <c r="DZ270" s="92"/>
      <c r="EA270" s="92"/>
      <c r="EB270" s="92"/>
      <c r="EC270" s="92"/>
      <c r="ED270" s="92"/>
      <c r="EE270" s="92"/>
      <c r="EF270" s="92"/>
      <c r="EG270" s="92"/>
      <c r="EH270" s="92"/>
      <c r="EI270" s="92"/>
      <c r="EJ270" s="92"/>
      <c r="EK270" s="92"/>
      <c r="EL270" s="92"/>
      <c r="EM270" s="92"/>
      <c r="EN270" s="92"/>
      <c r="EO270" s="92"/>
      <c r="EP270" s="92"/>
      <c r="EQ270" s="92"/>
      <c r="ER270" s="92"/>
      <c r="ES270" s="92"/>
      <c r="ET270" s="92"/>
      <c r="EU270" s="92"/>
      <c r="EV270" s="92"/>
      <c r="EW270" s="92"/>
      <c r="EX270" s="92"/>
      <c r="EY270" s="92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  <c r="FJ270" s="92"/>
      <c r="FK270" s="92"/>
      <c r="FL270" s="92"/>
      <c r="FM270" s="92"/>
      <c r="FN270" s="92"/>
      <c r="FO270" s="92"/>
      <c r="FP270" s="92"/>
      <c r="FQ270" s="92"/>
      <c r="FR270" s="92"/>
      <c r="FS270" s="92"/>
      <c r="FT270" s="92"/>
      <c r="FU270" s="92"/>
    </row>
    <row r="271" spans="10:177" s="1" customFormat="1" ht="15.75"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  <c r="CZ271" s="92"/>
      <c r="DA271" s="92"/>
      <c r="DB271" s="92"/>
      <c r="DC271" s="92"/>
      <c r="DD271" s="92"/>
      <c r="DE271" s="92"/>
      <c r="DF271" s="92"/>
      <c r="DG271" s="92"/>
      <c r="DH271" s="92"/>
      <c r="DI271" s="92"/>
      <c r="DJ271" s="92"/>
      <c r="DK271" s="92"/>
      <c r="DL271" s="92"/>
      <c r="DM271" s="92"/>
      <c r="DN271" s="92"/>
      <c r="DO271" s="92"/>
      <c r="DP271" s="92"/>
      <c r="DQ271" s="92"/>
      <c r="DR271" s="92"/>
      <c r="DS271" s="92"/>
      <c r="DT271" s="92"/>
      <c r="DU271" s="92"/>
      <c r="DV271" s="92"/>
      <c r="DW271" s="92"/>
      <c r="DX271" s="92"/>
      <c r="DY271" s="92"/>
      <c r="DZ271" s="92"/>
      <c r="EA271" s="92"/>
      <c r="EB271" s="92"/>
      <c r="EC271" s="92"/>
      <c r="ED271" s="92"/>
      <c r="EE271" s="92"/>
      <c r="EF271" s="92"/>
      <c r="EG271" s="92"/>
      <c r="EH271" s="92"/>
      <c r="EI271" s="92"/>
      <c r="EJ271" s="92"/>
      <c r="EK271" s="92"/>
      <c r="EL271" s="92"/>
      <c r="EM271" s="92"/>
      <c r="EN271" s="92"/>
      <c r="EO271" s="92"/>
      <c r="EP271" s="92"/>
      <c r="EQ271" s="92"/>
      <c r="ER271" s="92"/>
      <c r="ES271" s="92"/>
      <c r="ET271" s="92"/>
      <c r="EU271" s="92"/>
      <c r="EV271" s="92"/>
      <c r="EW271" s="92"/>
      <c r="EX271" s="92"/>
      <c r="EY271" s="92"/>
      <c r="EZ271" s="92"/>
      <c r="FA271" s="92"/>
      <c r="FB271" s="92"/>
      <c r="FC271" s="92"/>
      <c r="FD271" s="92"/>
      <c r="FE271" s="92"/>
      <c r="FF271" s="92"/>
      <c r="FG271" s="92"/>
      <c r="FH271" s="92"/>
      <c r="FI271" s="92"/>
      <c r="FJ271" s="92"/>
      <c r="FK271" s="92"/>
      <c r="FL271" s="92"/>
      <c r="FM271" s="92"/>
      <c r="FN271" s="92"/>
      <c r="FO271" s="92"/>
      <c r="FP271" s="92"/>
      <c r="FQ271" s="92"/>
      <c r="FR271" s="92"/>
      <c r="FS271" s="92"/>
      <c r="FT271" s="92"/>
      <c r="FU271" s="92"/>
    </row>
    <row r="272" spans="10:177" s="1" customFormat="1" ht="15.75"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  <c r="CZ272" s="92"/>
      <c r="DA272" s="92"/>
      <c r="DB272" s="92"/>
      <c r="DC272" s="92"/>
      <c r="DD272" s="92"/>
      <c r="DE272" s="92"/>
      <c r="DF272" s="92"/>
      <c r="DG272" s="92"/>
      <c r="DH272" s="92"/>
      <c r="DI272" s="92"/>
      <c r="DJ272" s="92"/>
      <c r="DK272" s="92"/>
      <c r="DL272" s="92"/>
      <c r="DM272" s="92"/>
      <c r="DN272" s="92"/>
      <c r="DO272" s="92"/>
      <c r="DP272" s="92"/>
      <c r="DQ272" s="92"/>
      <c r="DR272" s="92"/>
      <c r="DS272" s="92"/>
      <c r="DT272" s="92"/>
      <c r="DU272" s="92"/>
      <c r="DV272" s="92"/>
      <c r="DW272" s="92"/>
      <c r="DX272" s="92"/>
      <c r="DY272" s="92"/>
      <c r="DZ272" s="92"/>
      <c r="EA272" s="92"/>
      <c r="EB272" s="92"/>
      <c r="EC272" s="92"/>
      <c r="ED272" s="92"/>
      <c r="EE272" s="92"/>
      <c r="EF272" s="92"/>
      <c r="EG272" s="92"/>
      <c r="EH272" s="92"/>
      <c r="EI272" s="92"/>
      <c r="EJ272" s="92"/>
      <c r="EK272" s="92"/>
      <c r="EL272" s="92"/>
      <c r="EM272" s="92"/>
      <c r="EN272" s="92"/>
      <c r="EO272" s="92"/>
      <c r="EP272" s="92"/>
      <c r="EQ272" s="92"/>
      <c r="ER272" s="92"/>
      <c r="ES272" s="92"/>
      <c r="ET272" s="92"/>
      <c r="EU272" s="92"/>
      <c r="EV272" s="92"/>
      <c r="EW272" s="92"/>
      <c r="EX272" s="92"/>
      <c r="EY272" s="92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  <c r="FM272" s="92"/>
      <c r="FN272" s="92"/>
      <c r="FO272" s="92"/>
      <c r="FP272" s="92"/>
      <c r="FQ272" s="92"/>
      <c r="FR272" s="92"/>
      <c r="FS272" s="92"/>
      <c r="FT272" s="92"/>
      <c r="FU272" s="92"/>
    </row>
    <row r="273" spans="10:177" s="1" customFormat="1" ht="15.75"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  <c r="CZ273" s="92"/>
      <c r="DA273" s="92"/>
      <c r="DB273" s="92"/>
      <c r="DC273" s="92"/>
      <c r="DD273" s="92"/>
      <c r="DE273" s="92"/>
      <c r="DF273" s="92"/>
      <c r="DG273" s="92"/>
      <c r="DH273" s="92"/>
      <c r="DI273" s="92"/>
      <c r="DJ273" s="92"/>
      <c r="DK273" s="92"/>
      <c r="DL273" s="92"/>
      <c r="DM273" s="92"/>
      <c r="DN273" s="92"/>
      <c r="DO273" s="92"/>
      <c r="DP273" s="92"/>
      <c r="DQ273" s="92"/>
      <c r="DR273" s="92"/>
      <c r="DS273" s="92"/>
      <c r="DT273" s="92"/>
      <c r="DU273" s="92"/>
      <c r="DV273" s="92"/>
      <c r="DW273" s="92"/>
      <c r="DX273" s="92"/>
      <c r="DY273" s="92"/>
      <c r="DZ273" s="92"/>
      <c r="EA273" s="92"/>
      <c r="EB273" s="92"/>
      <c r="EC273" s="92"/>
      <c r="ED273" s="92"/>
      <c r="EE273" s="92"/>
      <c r="EF273" s="92"/>
      <c r="EG273" s="92"/>
      <c r="EH273" s="92"/>
      <c r="EI273" s="92"/>
      <c r="EJ273" s="92"/>
      <c r="EK273" s="92"/>
      <c r="EL273" s="92"/>
      <c r="EM273" s="92"/>
      <c r="EN273" s="92"/>
      <c r="EO273" s="92"/>
      <c r="EP273" s="92"/>
      <c r="EQ273" s="92"/>
      <c r="ER273" s="92"/>
      <c r="ES273" s="92"/>
      <c r="ET273" s="92"/>
      <c r="EU273" s="92"/>
      <c r="EV273" s="92"/>
      <c r="EW273" s="92"/>
      <c r="EX273" s="92"/>
      <c r="EY273" s="92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  <c r="FJ273" s="92"/>
      <c r="FK273" s="92"/>
      <c r="FL273" s="92"/>
      <c r="FM273" s="92"/>
      <c r="FN273" s="92"/>
      <c r="FO273" s="92"/>
      <c r="FP273" s="92"/>
      <c r="FQ273" s="92"/>
      <c r="FR273" s="92"/>
      <c r="FS273" s="92"/>
      <c r="FT273" s="92"/>
      <c r="FU273" s="92"/>
    </row>
    <row r="274" spans="10:177" s="1" customFormat="1" ht="15.75"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  <c r="DM274" s="92"/>
      <c r="DN274" s="92"/>
      <c r="DO274" s="92"/>
      <c r="DP274" s="92"/>
      <c r="DQ274" s="92"/>
      <c r="DR274" s="92"/>
      <c r="DS274" s="92"/>
      <c r="DT274" s="92"/>
      <c r="DU274" s="92"/>
      <c r="DV274" s="92"/>
      <c r="DW274" s="92"/>
      <c r="DX274" s="92"/>
      <c r="DY274" s="92"/>
      <c r="DZ274" s="92"/>
      <c r="EA274" s="92"/>
      <c r="EB274" s="92"/>
      <c r="EC274" s="92"/>
      <c r="ED274" s="92"/>
      <c r="EE274" s="92"/>
      <c r="EF274" s="92"/>
      <c r="EG274" s="92"/>
      <c r="EH274" s="92"/>
      <c r="EI274" s="92"/>
      <c r="EJ274" s="92"/>
      <c r="EK274" s="92"/>
      <c r="EL274" s="92"/>
      <c r="EM274" s="92"/>
      <c r="EN274" s="92"/>
      <c r="EO274" s="92"/>
      <c r="EP274" s="92"/>
      <c r="EQ274" s="92"/>
      <c r="ER274" s="92"/>
      <c r="ES274" s="92"/>
      <c r="ET274" s="92"/>
      <c r="EU274" s="92"/>
      <c r="EV274" s="92"/>
      <c r="EW274" s="92"/>
      <c r="EX274" s="92"/>
      <c r="EY274" s="92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  <c r="FM274" s="92"/>
      <c r="FN274" s="92"/>
      <c r="FO274" s="92"/>
      <c r="FP274" s="92"/>
      <c r="FQ274" s="92"/>
      <c r="FR274" s="92"/>
      <c r="FS274" s="92"/>
      <c r="FT274" s="92"/>
      <c r="FU274" s="92"/>
    </row>
    <row r="275" spans="10:177" s="1" customFormat="1" ht="15.75"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  <c r="CZ275" s="92"/>
      <c r="DA275" s="92"/>
      <c r="DB275" s="92"/>
      <c r="DC275" s="92"/>
      <c r="DD275" s="92"/>
      <c r="DE275" s="92"/>
      <c r="DF275" s="92"/>
      <c r="DG275" s="92"/>
      <c r="DH275" s="92"/>
      <c r="DI275" s="92"/>
      <c r="DJ275" s="92"/>
      <c r="DK275" s="92"/>
      <c r="DL275" s="92"/>
      <c r="DM275" s="92"/>
      <c r="DN275" s="92"/>
      <c r="DO275" s="92"/>
      <c r="DP275" s="92"/>
      <c r="DQ275" s="92"/>
      <c r="DR275" s="92"/>
      <c r="DS275" s="92"/>
      <c r="DT275" s="92"/>
      <c r="DU275" s="92"/>
      <c r="DV275" s="92"/>
      <c r="DW275" s="92"/>
      <c r="DX275" s="92"/>
      <c r="DY275" s="92"/>
      <c r="DZ275" s="92"/>
      <c r="EA275" s="92"/>
      <c r="EB275" s="92"/>
      <c r="EC275" s="92"/>
      <c r="ED275" s="92"/>
      <c r="EE275" s="92"/>
      <c r="EF275" s="92"/>
      <c r="EG275" s="92"/>
      <c r="EH275" s="92"/>
      <c r="EI275" s="92"/>
      <c r="EJ275" s="92"/>
      <c r="EK275" s="92"/>
      <c r="EL275" s="92"/>
      <c r="EM275" s="92"/>
      <c r="EN275" s="92"/>
      <c r="EO275" s="92"/>
      <c r="EP275" s="92"/>
      <c r="EQ275" s="92"/>
      <c r="ER275" s="92"/>
      <c r="ES275" s="92"/>
      <c r="ET275" s="92"/>
      <c r="EU275" s="92"/>
      <c r="EV275" s="92"/>
      <c r="EW275" s="92"/>
      <c r="EX275" s="92"/>
      <c r="EY275" s="92"/>
      <c r="EZ275" s="92"/>
      <c r="FA275" s="92"/>
      <c r="FB275" s="92"/>
      <c r="FC275" s="92"/>
      <c r="FD275" s="92"/>
      <c r="FE275" s="92"/>
      <c r="FF275" s="92"/>
      <c r="FG275" s="92"/>
      <c r="FH275" s="92"/>
      <c r="FI275" s="92"/>
      <c r="FJ275" s="92"/>
      <c r="FK275" s="92"/>
      <c r="FL275" s="92"/>
      <c r="FM275" s="92"/>
      <c r="FN275" s="92"/>
      <c r="FO275" s="92"/>
      <c r="FP275" s="92"/>
      <c r="FQ275" s="92"/>
      <c r="FR275" s="92"/>
      <c r="FS275" s="92"/>
      <c r="FT275" s="92"/>
      <c r="FU275" s="92"/>
    </row>
    <row r="276" spans="10:177" s="1" customFormat="1" ht="15.75"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  <c r="CZ276" s="92"/>
      <c r="DA276" s="92"/>
      <c r="DB276" s="92"/>
      <c r="DC276" s="92"/>
      <c r="DD276" s="92"/>
      <c r="DE276" s="92"/>
      <c r="DF276" s="92"/>
      <c r="DG276" s="92"/>
      <c r="DH276" s="92"/>
      <c r="DI276" s="92"/>
      <c r="DJ276" s="92"/>
      <c r="DK276" s="92"/>
      <c r="DL276" s="92"/>
      <c r="DM276" s="92"/>
      <c r="DN276" s="92"/>
      <c r="DO276" s="92"/>
      <c r="DP276" s="92"/>
      <c r="DQ276" s="92"/>
      <c r="DR276" s="92"/>
      <c r="DS276" s="92"/>
      <c r="DT276" s="92"/>
      <c r="DU276" s="92"/>
      <c r="DV276" s="92"/>
      <c r="DW276" s="92"/>
      <c r="DX276" s="92"/>
      <c r="DY276" s="92"/>
      <c r="DZ276" s="92"/>
      <c r="EA276" s="92"/>
      <c r="EB276" s="92"/>
      <c r="EC276" s="92"/>
      <c r="ED276" s="92"/>
      <c r="EE276" s="92"/>
      <c r="EF276" s="92"/>
      <c r="EG276" s="92"/>
      <c r="EH276" s="92"/>
      <c r="EI276" s="92"/>
      <c r="EJ276" s="92"/>
      <c r="EK276" s="92"/>
      <c r="EL276" s="92"/>
      <c r="EM276" s="92"/>
      <c r="EN276" s="92"/>
      <c r="EO276" s="92"/>
      <c r="EP276" s="92"/>
      <c r="EQ276" s="92"/>
      <c r="ER276" s="92"/>
      <c r="ES276" s="92"/>
      <c r="ET276" s="92"/>
      <c r="EU276" s="92"/>
      <c r="EV276" s="92"/>
      <c r="EW276" s="92"/>
      <c r="EX276" s="92"/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  <c r="FM276" s="92"/>
      <c r="FN276" s="92"/>
      <c r="FO276" s="92"/>
      <c r="FP276" s="92"/>
      <c r="FQ276" s="92"/>
      <c r="FR276" s="92"/>
      <c r="FS276" s="92"/>
      <c r="FT276" s="92"/>
      <c r="FU276" s="92"/>
    </row>
    <row r="277" spans="10:177" s="1" customFormat="1" ht="15.75"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</row>
    <row r="278" spans="10:177" s="1" customFormat="1" ht="15.75"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2"/>
      <c r="DF278" s="92"/>
      <c r="DG278" s="92"/>
      <c r="DH278" s="92"/>
      <c r="DI278" s="92"/>
      <c r="DJ278" s="92"/>
      <c r="DK278" s="92"/>
      <c r="DL278" s="92"/>
      <c r="DM278" s="92"/>
      <c r="DN278" s="92"/>
      <c r="DO278" s="92"/>
      <c r="DP278" s="92"/>
      <c r="DQ278" s="92"/>
      <c r="DR278" s="92"/>
      <c r="DS278" s="92"/>
      <c r="DT278" s="92"/>
      <c r="DU278" s="92"/>
      <c r="DV278" s="92"/>
      <c r="DW278" s="92"/>
      <c r="DX278" s="92"/>
      <c r="DY278" s="92"/>
      <c r="DZ278" s="92"/>
      <c r="EA278" s="92"/>
      <c r="EB278" s="92"/>
      <c r="EC278" s="92"/>
      <c r="ED278" s="92"/>
      <c r="EE278" s="92"/>
      <c r="EF278" s="92"/>
      <c r="EG278" s="92"/>
      <c r="EH278" s="92"/>
      <c r="EI278" s="92"/>
      <c r="EJ278" s="92"/>
      <c r="EK278" s="92"/>
      <c r="EL278" s="92"/>
      <c r="EM278" s="92"/>
      <c r="EN278" s="92"/>
      <c r="EO278" s="92"/>
      <c r="EP278" s="92"/>
      <c r="EQ278" s="92"/>
      <c r="ER278" s="92"/>
      <c r="ES278" s="92"/>
      <c r="ET278" s="92"/>
      <c r="EU278" s="92"/>
      <c r="EV278" s="92"/>
      <c r="EW278" s="92"/>
      <c r="EX278" s="92"/>
      <c r="EY278" s="92"/>
      <c r="EZ278" s="92"/>
      <c r="FA278" s="92"/>
      <c r="FB278" s="92"/>
      <c r="FC278" s="92"/>
      <c r="FD278" s="92"/>
      <c r="FE278" s="92"/>
      <c r="FF278" s="92"/>
      <c r="FG278" s="92"/>
      <c r="FH278" s="92"/>
      <c r="FI278" s="92"/>
      <c r="FJ278" s="92"/>
      <c r="FK278" s="92"/>
      <c r="FL278" s="92"/>
      <c r="FM278" s="92"/>
      <c r="FN278" s="92"/>
      <c r="FO278" s="92"/>
      <c r="FP278" s="92"/>
      <c r="FQ278" s="92"/>
      <c r="FR278" s="92"/>
      <c r="FS278" s="92"/>
      <c r="FT278" s="92"/>
      <c r="FU278" s="92"/>
    </row>
    <row r="279" spans="10:177" s="1" customFormat="1" ht="15.75"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</row>
    <row r="280" spans="10:177" s="1" customFormat="1" ht="15.75"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  <c r="CZ280" s="92"/>
      <c r="DA280" s="92"/>
      <c r="DB280" s="92"/>
      <c r="DC280" s="92"/>
      <c r="DD280" s="92"/>
      <c r="DE280" s="92"/>
      <c r="DF280" s="92"/>
      <c r="DG280" s="92"/>
      <c r="DH280" s="92"/>
      <c r="DI280" s="92"/>
      <c r="DJ280" s="92"/>
      <c r="DK280" s="92"/>
      <c r="DL280" s="92"/>
      <c r="DM280" s="92"/>
      <c r="DN280" s="92"/>
      <c r="DO280" s="92"/>
      <c r="DP280" s="92"/>
      <c r="DQ280" s="92"/>
      <c r="DR280" s="92"/>
      <c r="DS280" s="92"/>
      <c r="DT280" s="92"/>
      <c r="DU280" s="92"/>
      <c r="DV280" s="92"/>
      <c r="DW280" s="92"/>
      <c r="DX280" s="92"/>
      <c r="DY280" s="92"/>
      <c r="DZ280" s="92"/>
      <c r="EA280" s="92"/>
      <c r="EB280" s="92"/>
      <c r="EC280" s="92"/>
      <c r="ED280" s="92"/>
      <c r="EE280" s="92"/>
      <c r="EF280" s="92"/>
      <c r="EG280" s="92"/>
      <c r="EH280" s="92"/>
      <c r="EI280" s="92"/>
      <c r="EJ280" s="92"/>
      <c r="EK280" s="92"/>
      <c r="EL280" s="92"/>
      <c r="EM280" s="92"/>
      <c r="EN280" s="92"/>
      <c r="EO280" s="92"/>
      <c r="EP280" s="92"/>
      <c r="EQ280" s="92"/>
      <c r="ER280" s="92"/>
      <c r="ES280" s="92"/>
      <c r="ET280" s="92"/>
      <c r="EU280" s="92"/>
      <c r="EV280" s="92"/>
      <c r="EW280" s="92"/>
      <c r="EX280" s="92"/>
      <c r="EY280" s="92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  <c r="FJ280" s="92"/>
      <c r="FK280" s="92"/>
      <c r="FL280" s="92"/>
      <c r="FM280" s="92"/>
      <c r="FN280" s="92"/>
      <c r="FO280" s="92"/>
      <c r="FP280" s="92"/>
      <c r="FQ280" s="92"/>
      <c r="FR280" s="92"/>
      <c r="FS280" s="92"/>
      <c r="FT280" s="92"/>
      <c r="FU280" s="92"/>
    </row>
    <row r="281" spans="10:177" s="1" customFormat="1" ht="15.75"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2"/>
      <c r="DF281" s="92"/>
      <c r="DG281" s="92"/>
      <c r="DH281" s="92"/>
      <c r="DI281" s="92"/>
      <c r="DJ281" s="92"/>
      <c r="DK281" s="92"/>
      <c r="DL281" s="92"/>
      <c r="DM281" s="92"/>
      <c r="DN281" s="92"/>
      <c r="DO281" s="92"/>
      <c r="DP281" s="92"/>
      <c r="DQ281" s="92"/>
      <c r="DR281" s="92"/>
      <c r="DS281" s="92"/>
      <c r="DT281" s="92"/>
      <c r="DU281" s="92"/>
      <c r="DV281" s="92"/>
      <c r="DW281" s="92"/>
      <c r="DX281" s="92"/>
      <c r="DY281" s="92"/>
      <c r="DZ281" s="92"/>
      <c r="EA281" s="92"/>
      <c r="EB281" s="92"/>
      <c r="EC281" s="92"/>
      <c r="ED281" s="92"/>
      <c r="EE281" s="92"/>
      <c r="EF281" s="92"/>
      <c r="EG281" s="92"/>
      <c r="EH281" s="92"/>
      <c r="EI281" s="92"/>
      <c r="EJ281" s="92"/>
      <c r="EK281" s="92"/>
      <c r="EL281" s="92"/>
      <c r="EM281" s="92"/>
      <c r="EN281" s="92"/>
      <c r="EO281" s="92"/>
      <c r="EP281" s="92"/>
      <c r="EQ281" s="92"/>
      <c r="ER281" s="92"/>
      <c r="ES281" s="92"/>
      <c r="ET281" s="92"/>
      <c r="EU281" s="92"/>
      <c r="EV281" s="92"/>
      <c r="EW281" s="92"/>
      <c r="EX281" s="92"/>
      <c r="EY281" s="92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  <c r="FM281" s="92"/>
      <c r="FN281" s="92"/>
      <c r="FO281" s="92"/>
      <c r="FP281" s="92"/>
      <c r="FQ281" s="92"/>
      <c r="FR281" s="92"/>
      <c r="FS281" s="92"/>
      <c r="FT281" s="92"/>
      <c r="FU281" s="92"/>
    </row>
    <row r="282" spans="10:177" s="1" customFormat="1" ht="15.75"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  <c r="DM282" s="92"/>
      <c r="DN282" s="92"/>
      <c r="DO282" s="92"/>
      <c r="DP282" s="92"/>
      <c r="DQ282" s="92"/>
      <c r="DR282" s="92"/>
      <c r="DS282" s="92"/>
      <c r="DT282" s="92"/>
      <c r="DU282" s="92"/>
      <c r="DV282" s="92"/>
      <c r="DW282" s="92"/>
      <c r="DX282" s="92"/>
      <c r="DY282" s="92"/>
      <c r="DZ282" s="92"/>
      <c r="EA282" s="92"/>
      <c r="EB282" s="92"/>
      <c r="EC282" s="92"/>
      <c r="ED282" s="92"/>
      <c r="EE282" s="92"/>
      <c r="EF282" s="92"/>
      <c r="EG282" s="92"/>
      <c r="EH282" s="92"/>
      <c r="EI282" s="92"/>
      <c r="EJ282" s="92"/>
      <c r="EK282" s="92"/>
      <c r="EL282" s="92"/>
      <c r="EM282" s="92"/>
      <c r="EN282" s="92"/>
      <c r="EO282" s="92"/>
      <c r="EP282" s="92"/>
      <c r="EQ282" s="92"/>
      <c r="ER282" s="92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</row>
    <row r="283" spans="10:177" s="1" customFormat="1" ht="15.75"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2"/>
      <c r="DX283" s="92"/>
      <c r="DY283" s="92"/>
      <c r="DZ283" s="92"/>
      <c r="EA283" s="92"/>
      <c r="EB283" s="92"/>
      <c r="EC283" s="92"/>
      <c r="ED283" s="92"/>
      <c r="EE283" s="92"/>
      <c r="EF283" s="92"/>
      <c r="EG283" s="92"/>
      <c r="EH283" s="92"/>
      <c r="EI283" s="92"/>
      <c r="EJ283" s="92"/>
      <c r="EK283" s="92"/>
      <c r="EL283" s="92"/>
      <c r="EM283" s="92"/>
      <c r="EN283" s="92"/>
      <c r="EO283" s="92"/>
      <c r="EP283" s="92"/>
      <c r="EQ283" s="92"/>
      <c r="ER283" s="92"/>
      <c r="ES283" s="92"/>
      <c r="ET283" s="92"/>
      <c r="EU283" s="92"/>
      <c r="EV283" s="92"/>
      <c r="EW283" s="92"/>
      <c r="EX283" s="92"/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  <c r="FM283" s="92"/>
      <c r="FN283" s="92"/>
      <c r="FO283" s="92"/>
      <c r="FP283" s="92"/>
      <c r="FQ283" s="92"/>
      <c r="FR283" s="92"/>
      <c r="FS283" s="92"/>
      <c r="FT283" s="92"/>
      <c r="FU283" s="92"/>
    </row>
    <row r="284" spans="10:177" s="1" customFormat="1" ht="15.75"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</row>
    <row r="285" spans="10:177" s="1" customFormat="1" ht="15.75"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  <c r="DM285" s="92"/>
      <c r="DN285" s="92"/>
      <c r="DO285" s="92"/>
      <c r="DP285" s="92"/>
      <c r="DQ285" s="92"/>
      <c r="DR285" s="92"/>
      <c r="DS285" s="92"/>
      <c r="DT285" s="92"/>
      <c r="DU285" s="92"/>
      <c r="DV285" s="92"/>
      <c r="DW285" s="92"/>
      <c r="DX285" s="92"/>
      <c r="DY285" s="92"/>
      <c r="DZ285" s="92"/>
      <c r="EA285" s="92"/>
      <c r="EB285" s="92"/>
      <c r="EC285" s="92"/>
      <c r="ED285" s="92"/>
      <c r="EE285" s="92"/>
      <c r="EF285" s="92"/>
      <c r="EG285" s="92"/>
      <c r="EH285" s="92"/>
      <c r="EI285" s="92"/>
      <c r="EJ285" s="92"/>
      <c r="EK285" s="92"/>
      <c r="EL285" s="92"/>
      <c r="EM285" s="92"/>
      <c r="EN285" s="92"/>
      <c r="EO285" s="92"/>
      <c r="EP285" s="92"/>
      <c r="EQ285" s="92"/>
      <c r="ER285" s="92"/>
      <c r="ES285" s="92"/>
      <c r="ET285" s="92"/>
      <c r="EU285" s="92"/>
      <c r="EV285" s="92"/>
      <c r="EW285" s="92"/>
      <c r="EX285" s="92"/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  <c r="FM285" s="92"/>
      <c r="FN285" s="92"/>
      <c r="FO285" s="92"/>
      <c r="FP285" s="92"/>
      <c r="FQ285" s="92"/>
      <c r="FR285" s="92"/>
      <c r="FS285" s="92"/>
      <c r="FT285" s="92"/>
      <c r="FU285" s="92"/>
    </row>
    <row r="286" spans="10:177" s="1" customFormat="1" ht="15.75"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</row>
    <row r="287" spans="10:177" s="1" customFormat="1" ht="15.75"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2"/>
      <c r="DE287" s="92"/>
      <c r="DF287" s="92"/>
      <c r="DG287" s="92"/>
      <c r="DH287" s="92"/>
      <c r="DI287" s="92"/>
      <c r="DJ287" s="92"/>
      <c r="DK287" s="92"/>
      <c r="DL287" s="92"/>
      <c r="DM287" s="92"/>
      <c r="DN287" s="92"/>
      <c r="DO287" s="92"/>
      <c r="DP287" s="92"/>
      <c r="DQ287" s="92"/>
      <c r="DR287" s="92"/>
      <c r="DS287" s="92"/>
      <c r="DT287" s="92"/>
      <c r="DU287" s="92"/>
      <c r="DV287" s="92"/>
      <c r="DW287" s="92"/>
      <c r="DX287" s="92"/>
      <c r="DY287" s="92"/>
      <c r="DZ287" s="92"/>
      <c r="EA287" s="92"/>
      <c r="EB287" s="92"/>
      <c r="EC287" s="92"/>
      <c r="ED287" s="92"/>
      <c r="EE287" s="92"/>
      <c r="EF287" s="92"/>
      <c r="EG287" s="92"/>
      <c r="EH287" s="92"/>
      <c r="EI287" s="92"/>
      <c r="EJ287" s="92"/>
      <c r="EK287" s="92"/>
      <c r="EL287" s="92"/>
      <c r="EM287" s="92"/>
      <c r="EN287" s="92"/>
      <c r="EO287" s="92"/>
      <c r="EP287" s="92"/>
      <c r="EQ287" s="92"/>
      <c r="ER287" s="92"/>
      <c r="ES287" s="92"/>
      <c r="ET287" s="92"/>
      <c r="EU287" s="92"/>
      <c r="EV287" s="92"/>
      <c r="EW287" s="92"/>
      <c r="EX287" s="92"/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  <c r="FM287" s="92"/>
      <c r="FN287" s="92"/>
      <c r="FO287" s="92"/>
      <c r="FP287" s="92"/>
      <c r="FQ287" s="92"/>
      <c r="FR287" s="92"/>
      <c r="FS287" s="92"/>
      <c r="FT287" s="92"/>
      <c r="FU287" s="92"/>
    </row>
    <row r="288" spans="10:177" s="1" customFormat="1" ht="15.75"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  <c r="CY288" s="92"/>
      <c r="CZ288" s="92"/>
      <c r="DA288" s="92"/>
      <c r="DB288" s="92"/>
      <c r="DC288" s="92"/>
      <c r="DD288" s="92"/>
      <c r="DE288" s="92"/>
      <c r="DF288" s="92"/>
      <c r="DG288" s="92"/>
      <c r="DH288" s="92"/>
      <c r="DI288" s="92"/>
      <c r="DJ288" s="92"/>
      <c r="DK288" s="92"/>
      <c r="DL288" s="92"/>
      <c r="DM288" s="92"/>
      <c r="DN288" s="92"/>
      <c r="DO288" s="92"/>
      <c r="DP288" s="92"/>
      <c r="DQ288" s="92"/>
      <c r="DR288" s="92"/>
      <c r="DS288" s="92"/>
      <c r="DT288" s="92"/>
      <c r="DU288" s="92"/>
      <c r="DV288" s="92"/>
      <c r="DW288" s="92"/>
      <c r="DX288" s="92"/>
      <c r="DY288" s="92"/>
      <c r="DZ288" s="92"/>
      <c r="EA288" s="92"/>
      <c r="EB288" s="92"/>
      <c r="EC288" s="92"/>
      <c r="ED288" s="92"/>
      <c r="EE288" s="92"/>
      <c r="EF288" s="92"/>
      <c r="EG288" s="92"/>
      <c r="EH288" s="92"/>
      <c r="EI288" s="92"/>
      <c r="EJ288" s="92"/>
      <c r="EK288" s="92"/>
      <c r="EL288" s="92"/>
      <c r="EM288" s="92"/>
      <c r="EN288" s="92"/>
      <c r="EO288" s="92"/>
      <c r="EP288" s="92"/>
      <c r="EQ288" s="92"/>
      <c r="ER288" s="92"/>
      <c r="ES288" s="92"/>
      <c r="ET288" s="92"/>
      <c r="EU288" s="92"/>
      <c r="EV288" s="92"/>
      <c r="EW288" s="92"/>
      <c r="EX288" s="92"/>
      <c r="EY288" s="92"/>
      <c r="EZ288" s="92"/>
      <c r="FA288" s="92"/>
      <c r="FB288" s="92"/>
      <c r="FC288" s="92"/>
      <c r="FD288" s="92"/>
      <c r="FE288" s="92"/>
      <c r="FF288" s="92"/>
      <c r="FG288" s="92"/>
      <c r="FH288" s="92"/>
      <c r="FI288" s="92"/>
      <c r="FJ288" s="92"/>
      <c r="FK288" s="92"/>
      <c r="FL288" s="92"/>
      <c r="FM288" s="92"/>
      <c r="FN288" s="92"/>
      <c r="FO288" s="92"/>
      <c r="FP288" s="92"/>
      <c r="FQ288" s="92"/>
      <c r="FR288" s="92"/>
      <c r="FS288" s="92"/>
      <c r="FT288" s="92"/>
      <c r="FU288" s="92"/>
    </row>
    <row r="289" spans="10:177" s="1" customFormat="1" ht="15.75"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  <c r="CY289" s="92"/>
      <c r="CZ289" s="92"/>
      <c r="DA289" s="92"/>
      <c r="DB289" s="92"/>
      <c r="DC289" s="92"/>
      <c r="DD289" s="92"/>
      <c r="DE289" s="92"/>
      <c r="DF289" s="92"/>
      <c r="DG289" s="92"/>
      <c r="DH289" s="92"/>
      <c r="DI289" s="92"/>
      <c r="DJ289" s="92"/>
      <c r="DK289" s="92"/>
      <c r="DL289" s="92"/>
      <c r="DM289" s="92"/>
      <c r="DN289" s="92"/>
      <c r="DO289" s="92"/>
      <c r="DP289" s="92"/>
      <c r="DQ289" s="92"/>
      <c r="DR289" s="92"/>
      <c r="DS289" s="92"/>
      <c r="DT289" s="92"/>
      <c r="DU289" s="92"/>
      <c r="DV289" s="92"/>
      <c r="DW289" s="92"/>
      <c r="DX289" s="92"/>
      <c r="DY289" s="92"/>
      <c r="DZ289" s="92"/>
      <c r="EA289" s="92"/>
      <c r="EB289" s="92"/>
      <c r="EC289" s="92"/>
      <c r="ED289" s="92"/>
      <c r="EE289" s="92"/>
      <c r="EF289" s="92"/>
      <c r="EG289" s="92"/>
      <c r="EH289" s="92"/>
      <c r="EI289" s="92"/>
      <c r="EJ289" s="92"/>
      <c r="EK289" s="92"/>
      <c r="EL289" s="92"/>
      <c r="EM289" s="92"/>
      <c r="EN289" s="92"/>
      <c r="EO289" s="92"/>
      <c r="EP289" s="92"/>
      <c r="EQ289" s="92"/>
      <c r="ER289" s="92"/>
      <c r="ES289" s="92"/>
      <c r="ET289" s="92"/>
      <c r="EU289" s="92"/>
      <c r="EV289" s="92"/>
      <c r="EW289" s="92"/>
      <c r="EX289" s="92"/>
      <c r="EY289" s="92"/>
      <c r="EZ289" s="92"/>
      <c r="FA289" s="92"/>
      <c r="FB289" s="92"/>
      <c r="FC289" s="92"/>
      <c r="FD289" s="92"/>
      <c r="FE289" s="92"/>
      <c r="FF289" s="92"/>
      <c r="FG289" s="92"/>
      <c r="FH289" s="92"/>
      <c r="FI289" s="92"/>
      <c r="FJ289" s="92"/>
      <c r="FK289" s="92"/>
      <c r="FL289" s="92"/>
      <c r="FM289" s="92"/>
      <c r="FN289" s="92"/>
      <c r="FO289" s="92"/>
      <c r="FP289" s="92"/>
      <c r="FQ289" s="92"/>
      <c r="FR289" s="92"/>
      <c r="FS289" s="92"/>
      <c r="FT289" s="92"/>
      <c r="FU289" s="92"/>
    </row>
    <row r="290" spans="10:177" s="1" customFormat="1" ht="15.75"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2"/>
      <c r="DS290" s="92"/>
      <c r="DT290" s="92"/>
      <c r="DU290" s="92"/>
      <c r="DV290" s="92"/>
      <c r="DW290" s="92"/>
      <c r="DX290" s="92"/>
      <c r="DY290" s="92"/>
      <c r="DZ290" s="92"/>
      <c r="EA290" s="92"/>
      <c r="EB290" s="92"/>
      <c r="EC290" s="92"/>
      <c r="ED290" s="92"/>
      <c r="EE290" s="92"/>
      <c r="EF290" s="92"/>
      <c r="EG290" s="92"/>
      <c r="EH290" s="92"/>
      <c r="EI290" s="92"/>
      <c r="EJ290" s="92"/>
      <c r="EK290" s="92"/>
      <c r="EL290" s="92"/>
      <c r="EM290" s="92"/>
      <c r="EN290" s="92"/>
      <c r="EO290" s="92"/>
      <c r="EP290" s="92"/>
      <c r="EQ290" s="92"/>
      <c r="ER290" s="92"/>
      <c r="ES290" s="92"/>
      <c r="ET290" s="92"/>
      <c r="EU290" s="92"/>
      <c r="EV290" s="92"/>
      <c r="EW290" s="92"/>
      <c r="EX290" s="92"/>
      <c r="EY290" s="92"/>
      <c r="EZ290" s="92"/>
      <c r="FA290" s="92"/>
      <c r="FB290" s="92"/>
      <c r="FC290" s="92"/>
      <c r="FD290" s="92"/>
      <c r="FE290" s="92"/>
      <c r="FF290" s="92"/>
      <c r="FG290" s="92"/>
      <c r="FH290" s="92"/>
      <c r="FI290" s="92"/>
      <c r="FJ290" s="92"/>
      <c r="FK290" s="92"/>
      <c r="FL290" s="92"/>
      <c r="FM290" s="92"/>
      <c r="FN290" s="92"/>
      <c r="FO290" s="92"/>
      <c r="FP290" s="92"/>
      <c r="FQ290" s="92"/>
      <c r="FR290" s="92"/>
      <c r="FS290" s="92"/>
      <c r="FT290" s="92"/>
      <c r="FU290" s="92"/>
    </row>
    <row r="291" spans="10:177" s="1" customFormat="1" ht="15.75"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</row>
    <row r="292" spans="10:177" s="1" customFormat="1" ht="15.75"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/>
      <c r="DC292" s="92"/>
      <c r="DD292" s="92"/>
      <c r="DE292" s="92"/>
      <c r="DF292" s="92"/>
      <c r="DG292" s="92"/>
      <c r="DH292" s="92"/>
      <c r="DI292" s="92"/>
      <c r="DJ292" s="92"/>
      <c r="DK292" s="92"/>
      <c r="DL292" s="92"/>
      <c r="DM292" s="92"/>
      <c r="DN292" s="92"/>
      <c r="DO292" s="92"/>
      <c r="DP292" s="92"/>
      <c r="DQ292" s="92"/>
      <c r="DR292" s="92"/>
      <c r="DS292" s="92"/>
      <c r="DT292" s="92"/>
      <c r="DU292" s="92"/>
      <c r="DV292" s="92"/>
      <c r="DW292" s="92"/>
      <c r="DX292" s="92"/>
      <c r="DY292" s="92"/>
      <c r="DZ292" s="92"/>
      <c r="EA292" s="92"/>
      <c r="EB292" s="92"/>
      <c r="EC292" s="92"/>
      <c r="ED292" s="92"/>
      <c r="EE292" s="92"/>
      <c r="EF292" s="92"/>
      <c r="EG292" s="92"/>
      <c r="EH292" s="92"/>
      <c r="EI292" s="92"/>
      <c r="EJ292" s="92"/>
      <c r="EK292" s="92"/>
      <c r="EL292" s="92"/>
      <c r="EM292" s="92"/>
      <c r="EN292" s="92"/>
      <c r="EO292" s="92"/>
      <c r="EP292" s="92"/>
      <c r="EQ292" s="92"/>
      <c r="ER292" s="92"/>
      <c r="ES292" s="92"/>
      <c r="ET292" s="92"/>
      <c r="EU292" s="92"/>
      <c r="EV292" s="92"/>
      <c r="EW292" s="92"/>
      <c r="EX292" s="92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  <c r="FM292" s="92"/>
      <c r="FN292" s="92"/>
      <c r="FO292" s="92"/>
      <c r="FP292" s="92"/>
      <c r="FQ292" s="92"/>
      <c r="FR292" s="92"/>
      <c r="FS292" s="92"/>
      <c r="FT292" s="92"/>
      <c r="FU292" s="92"/>
    </row>
  </sheetData>
  <sheetProtection/>
  <mergeCells count="6">
    <mergeCell ref="A1:I1"/>
    <mergeCell ref="A2:I2"/>
    <mergeCell ref="A3:I3"/>
    <mergeCell ref="A102:I102"/>
    <mergeCell ref="A101:I101"/>
    <mergeCell ref="A100:I100"/>
  </mergeCells>
  <printOptions/>
  <pageMargins left="0.787401575" right="0.787401575" top="0.984251969" bottom="0.984251969" header="0.492125985" footer="0.492125985"/>
  <pageSetup horizontalDpi="300" verticalDpi="300" orientation="portrait" scale="34" r:id="rId2"/>
  <rowBreaks count="2" manualBreakCount="2">
    <brk id="98" max="38" man="1"/>
    <brk id="102" max="255" man="1"/>
  </rowBreaks>
  <colBreaks count="1" manualBreakCount="1">
    <brk id="3" max="15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09"/>
  <sheetViews>
    <sheetView workbookViewId="0" topLeftCell="A287">
      <selection activeCell="A299" sqref="A299:G319"/>
    </sheetView>
  </sheetViews>
  <sheetFormatPr defaultColWidth="9.140625" defaultRowHeight="12.75"/>
  <cols>
    <col min="1" max="1" width="40.421875" style="902" bestFit="1" customWidth="1"/>
    <col min="2" max="2" width="12.421875" style="926" customWidth="1"/>
    <col min="3" max="3" width="42.28125" style="927" bestFit="1" customWidth="1"/>
    <col min="4" max="4" width="18.7109375" style="902" bestFit="1" customWidth="1"/>
    <col min="5" max="5" width="15.28125" style="928" bestFit="1" customWidth="1"/>
    <col min="6" max="6" width="16.8515625" style="902" bestFit="1" customWidth="1"/>
    <col min="7" max="7" width="16.28125" style="902" bestFit="1" customWidth="1"/>
    <col min="8" max="8" width="15.8515625" style="902" bestFit="1" customWidth="1"/>
    <col min="9" max="9" width="9.140625" style="902" customWidth="1"/>
    <col min="10" max="10" width="15.28125" style="902" bestFit="1" customWidth="1"/>
    <col min="11" max="16384" width="9.140625" style="902" customWidth="1"/>
  </cols>
  <sheetData>
    <row r="1" spans="1:7" ht="13.5" thickBot="1">
      <c r="A1" s="899" t="s">
        <v>876</v>
      </c>
      <c r="B1" s="900"/>
      <c r="C1" s="900"/>
      <c r="D1" s="900"/>
      <c r="E1" s="900"/>
      <c r="F1" s="900"/>
      <c r="G1" s="901"/>
    </row>
    <row r="2" spans="1:7" ht="12.75">
      <c r="A2" s="903" t="s">
        <v>729</v>
      </c>
      <c r="B2" s="904" t="s">
        <v>1238</v>
      </c>
      <c r="C2" s="904" t="s">
        <v>730</v>
      </c>
      <c r="D2" s="905" t="s">
        <v>731</v>
      </c>
      <c r="E2" s="906" t="s">
        <v>585</v>
      </c>
      <c r="F2" s="905" t="s">
        <v>742</v>
      </c>
      <c r="G2" s="907" t="s">
        <v>732</v>
      </c>
    </row>
    <row r="3" spans="1:7" ht="12.75">
      <c r="A3" s="908" t="s">
        <v>1188</v>
      </c>
      <c r="B3" s="909"/>
      <c r="C3" s="910" t="s">
        <v>1189</v>
      </c>
      <c r="D3" s="911">
        <v>50000</v>
      </c>
      <c r="E3" s="912"/>
      <c r="F3" s="913"/>
      <c r="G3" s="914">
        <f>SUM(D3:F3)</f>
        <v>50000</v>
      </c>
    </row>
    <row r="4" spans="1:7" ht="12.75">
      <c r="A4" s="915" t="s">
        <v>1190</v>
      </c>
      <c r="B4" s="916" t="s">
        <v>725</v>
      </c>
      <c r="C4" s="917" t="s">
        <v>913</v>
      </c>
      <c r="D4" s="918">
        <v>50000</v>
      </c>
      <c r="E4" s="919"/>
      <c r="F4" s="920"/>
      <c r="G4" s="921"/>
    </row>
    <row r="5" spans="1:7" ht="12.75">
      <c r="A5" s="908" t="s">
        <v>1191</v>
      </c>
      <c r="B5" s="909"/>
      <c r="C5" s="910" t="s">
        <v>1193</v>
      </c>
      <c r="D5" s="911">
        <v>10000</v>
      </c>
      <c r="E5" s="912"/>
      <c r="F5" s="913"/>
      <c r="G5" s="914">
        <f>D5</f>
        <v>10000</v>
      </c>
    </row>
    <row r="6" spans="1:7" ht="12.75">
      <c r="A6" s="915" t="s">
        <v>1192</v>
      </c>
      <c r="B6" s="916" t="s">
        <v>725</v>
      </c>
      <c r="C6" s="917" t="s">
        <v>930</v>
      </c>
      <c r="D6" s="918">
        <v>10000</v>
      </c>
      <c r="E6" s="919"/>
      <c r="F6" s="920"/>
      <c r="G6" s="921"/>
    </row>
    <row r="7" spans="1:7" ht="12.75">
      <c r="A7" s="908" t="s">
        <v>1194</v>
      </c>
      <c r="B7" s="909"/>
      <c r="C7" s="910" t="s">
        <v>877</v>
      </c>
      <c r="D7" s="913"/>
      <c r="E7" s="912">
        <f>SUM(E8:E16)</f>
        <v>1740000</v>
      </c>
      <c r="F7" s="913"/>
      <c r="G7" s="914">
        <f>SUM(D7:F7)</f>
        <v>1740000</v>
      </c>
    </row>
    <row r="8" spans="1:7" ht="12.75">
      <c r="A8" s="915" t="s">
        <v>1195</v>
      </c>
      <c r="B8" s="916" t="s">
        <v>725</v>
      </c>
      <c r="C8" s="917" t="s">
        <v>1196</v>
      </c>
      <c r="D8" s="920"/>
      <c r="E8" s="919">
        <v>1155000</v>
      </c>
      <c r="F8" s="920"/>
      <c r="G8" s="921"/>
    </row>
    <row r="9" spans="1:7" ht="12.75">
      <c r="A9" s="915" t="s">
        <v>1310</v>
      </c>
      <c r="B9" s="916" t="s">
        <v>725</v>
      </c>
      <c r="C9" s="917" t="s">
        <v>1239</v>
      </c>
      <c r="D9" s="920"/>
      <c r="E9" s="919">
        <v>100000</v>
      </c>
      <c r="F9" s="920"/>
      <c r="G9" s="921"/>
    </row>
    <row r="10" spans="1:7" ht="12.75">
      <c r="A10" s="915" t="s">
        <v>1311</v>
      </c>
      <c r="B10" s="916" t="s">
        <v>725</v>
      </c>
      <c r="C10" s="917" t="s">
        <v>1239</v>
      </c>
      <c r="D10" s="920"/>
      <c r="E10" s="919">
        <v>50000</v>
      </c>
      <c r="F10" s="920"/>
      <c r="G10" s="921"/>
    </row>
    <row r="11" spans="1:7" ht="12.75">
      <c r="A11" s="915" t="s">
        <v>1197</v>
      </c>
      <c r="B11" s="916" t="s">
        <v>725</v>
      </c>
      <c r="C11" s="917" t="s">
        <v>886</v>
      </c>
      <c r="D11" s="920"/>
      <c r="E11" s="919">
        <v>55000</v>
      </c>
      <c r="F11" s="920"/>
      <c r="G11" s="921"/>
    </row>
    <row r="12" spans="1:7" ht="12.75">
      <c r="A12" s="915" t="s">
        <v>1198</v>
      </c>
      <c r="B12" s="916" t="s">
        <v>725</v>
      </c>
      <c r="C12" s="917" t="s">
        <v>887</v>
      </c>
      <c r="D12" s="920"/>
      <c r="E12" s="919">
        <v>100000</v>
      </c>
      <c r="F12" s="920"/>
      <c r="G12" s="921"/>
    </row>
    <row r="13" spans="1:7" ht="12.75">
      <c r="A13" s="915" t="s">
        <v>1202</v>
      </c>
      <c r="B13" s="916" t="s">
        <v>725</v>
      </c>
      <c r="C13" s="917" t="s">
        <v>1203</v>
      </c>
      <c r="D13" s="920"/>
      <c r="E13" s="919">
        <v>25000</v>
      </c>
      <c r="F13" s="920"/>
      <c r="G13" s="921"/>
    </row>
    <row r="14" spans="1:7" ht="12.75">
      <c r="A14" s="915" t="s">
        <v>1204</v>
      </c>
      <c r="B14" s="916" t="s">
        <v>725</v>
      </c>
      <c r="C14" s="917" t="s">
        <v>1205</v>
      </c>
      <c r="D14" s="920"/>
      <c r="E14" s="919">
        <v>25000</v>
      </c>
      <c r="F14" s="920"/>
      <c r="G14" s="921"/>
    </row>
    <row r="15" spans="1:7" ht="12.75">
      <c r="A15" s="915" t="s">
        <v>1199</v>
      </c>
      <c r="B15" s="916" t="s">
        <v>725</v>
      </c>
      <c r="C15" s="917" t="s">
        <v>1200</v>
      </c>
      <c r="D15" s="920"/>
      <c r="E15" s="919">
        <v>30000</v>
      </c>
      <c r="F15" s="920"/>
      <c r="G15" s="921"/>
    </row>
    <row r="16" spans="1:7" ht="13.5" thickBot="1">
      <c r="A16" s="915" t="s">
        <v>1201</v>
      </c>
      <c r="B16" s="916" t="s">
        <v>725</v>
      </c>
      <c r="C16" s="917" t="s">
        <v>999</v>
      </c>
      <c r="D16" s="920"/>
      <c r="E16" s="919">
        <v>200000</v>
      </c>
      <c r="F16" s="920"/>
      <c r="G16" s="921"/>
    </row>
    <row r="17" spans="1:7" ht="13.5" thickBot="1">
      <c r="A17" s="922" t="s">
        <v>1284</v>
      </c>
      <c r="B17" s="923"/>
      <c r="C17" s="923"/>
      <c r="D17" s="923"/>
      <c r="E17" s="923"/>
      <c r="F17" s="924"/>
      <c r="G17" s="925">
        <f>SUM(G3:G7)</f>
        <v>1800000</v>
      </c>
    </row>
    <row r="20" ht="13.5" thickBot="1"/>
    <row r="21" spans="1:7" ht="13.5" thickBot="1">
      <c r="A21" s="929" t="s">
        <v>728</v>
      </c>
      <c r="B21" s="900"/>
      <c r="C21" s="900"/>
      <c r="D21" s="900"/>
      <c r="E21" s="900"/>
      <c r="F21" s="900"/>
      <c r="G21" s="901"/>
    </row>
    <row r="22" spans="1:7" s="936" customFormat="1" ht="12.75">
      <c r="A22" s="930" t="s">
        <v>729</v>
      </c>
      <c r="B22" s="931" t="s">
        <v>1238</v>
      </c>
      <c r="C22" s="932" t="s">
        <v>730</v>
      </c>
      <c r="D22" s="933" t="s">
        <v>731</v>
      </c>
      <c r="E22" s="934" t="s">
        <v>585</v>
      </c>
      <c r="F22" s="933" t="s">
        <v>742</v>
      </c>
      <c r="G22" s="935" t="s">
        <v>732</v>
      </c>
    </row>
    <row r="23" spans="1:7" s="937" customFormat="1" ht="12.75">
      <c r="A23" s="908" t="s">
        <v>733</v>
      </c>
      <c r="B23" s="909"/>
      <c r="C23" s="910" t="s">
        <v>734</v>
      </c>
      <c r="D23" s="911">
        <v>5000</v>
      </c>
      <c r="E23" s="912"/>
      <c r="F23" s="913"/>
      <c r="G23" s="914">
        <f>F23+E23+D23</f>
        <v>5000</v>
      </c>
    </row>
    <row r="24" spans="1:7" s="937" customFormat="1" ht="12.75">
      <c r="A24" s="915" t="s">
        <v>881</v>
      </c>
      <c r="B24" s="916" t="s">
        <v>725</v>
      </c>
      <c r="C24" s="917" t="s">
        <v>882</v>
      </c>
      <c r="D24" s="918">
        <v>5000</v>
      </c>
      <c r="E24" s="919"/>
      <c r="F24" s="913"/>
      <c r="G24" s="921"/>
    </row>
    <row r="25" spans="1:7" s="937" customFormat="1" ht="12.75">
      <c r="A25" s="908" t="s">
        <v>735</v>
      </c>
      <c r="B25" s="909"/>
      <c r="C25" s="910" t="s">
        <v>736</v>
      </c>
      <c r="D25" s="913"/>
      <c r="E25" s="912">
        <f>SUM(E26:E31)</f>
        <v>608320</v>
      </c>
      <c r="F25" s="913"/>
      <c r="G25" s="914">
        <f>E25</f>
        <v>608320</v>
      </c>
    </row>
    <row r="26" spans="1:7" s="938" customFormat="1" ht="12.75">
      <c r="A26" s="915" t="s">
        <v>884</v>
      </c>
      <c r="B26" s="916" t="s">
        <v>725</v>
      </c>
      <c r="C26" s="917" t="s">
        <v>885</v>
      </c>
      <c r="D26" s="920"/>
      <c r="E26" s="919">
        <v>438920</v>
      </c>
      <c r="F26" s="920"/>
      <c r="G26" s="921"/>
    </row>
    <row r="27" spans="1:7" s="938" customFormat="1" ht="12.75">
      <c r="A27" s="915" t="s">
        <v>1298</v>
      </c>
      <c r="B27" s="916" t="s">
        <v>1299</v>
      </c>
      <c r="C27" s="917" t="s">
        <v>1300</v>
      </c>
      <c r="D27" s="920"/>
      <c r="E27" s="919">
        <v>89400</v>
      </c>
      <c r="F27" s="920"/>
      <c r="G27" s="921"/>
    </row>
    <row r="28" spans="1:8" s="938" customFormat="1" ht="12.75">
      <c r="A28" s="915" t="s">
        <v>889</v>
      </c>
      <c r="B28" s="916" t="s">
        <v>725</v>
      </c>
      <c r="C28" s="917" t="s">
        <v>886</v>
      </c>
      <c r="D28" s="920"/>
      <c r="E28" s="919">
        <v>5000</v>
      </c>
      <c r="F28" s="920"/>
      <c r="G28" s="921"/>
      <c r="H28" s="939"/>
    </row>
    <row r="29" spans="1:8" s="938" customFormat="1" ht="12.75">
      <c r="A29" s="915" t="s">
        <v>890</v>
      </c>
      <c r="B29" s="916" t="s">
        <v>725</v>
      </c>
      <c r="C29" s="917" t="s">
        <v>887</v>
      </c>
      <c r="D29" s="920"/>
      <c r="E29" s="919">
        <v>20000</v>
      </c>
      <c r="F29" s="920"/>
      <c r="G29" s="921"/>
      <c r="H29" s="939"/>
    </row>
    <row r="30" spans="1:7" s="938" customFormat="1" ht="12.75">
      <c r="A30" s="915" t="s">
        <v>891</v>
      </c>
      <c r="B30" s="916" t="s">
        <v>725</v>
      </c>
      <c r="C30" s="917" t="s">
        <v>888</v>
      </c>
      <c r="D30" s="920"/>
      <c r="E30" s="919">
        <v>5000</v>
      </c>
      <c r="F30" s="920"/>
      <c r="G30" s="921"/>
    </row>
    <row r="31" spans="1:7" s="938" customFormat="1" ht="13.5" thickBot="1">
      <c r="A31" s="915" t="s">
        <v>892</v>
      </c>
      <c r="B31" s="916" t="s">
        <v>725</v>
      </c>
      <c r="C31" s="950" t="s">
        <v>1565</v>
      </c>
      <c r="D31" s="920"/>
      <c r="E31" s="919">
        <v>50000</v>
      </c>
      <c r="F31" s="920"/>
      <c r="G31" s="921"/>
    </row>
    <row r="32" spans="1:7" s="940" customFormat="1" ht="13.5" thickBot="1">
      <c r="A32" s="922" t="s">
        <v>1297</v>
      </c>
      <c r="B32" s="923"/>
      <c r="C32" s="923"/>
      <c r="D32" s="923"/>
      <c r="E32" s="923"/>
      <c r="F32" s="924"/>
      <c r="G32" s="925">
        <f>G23+G25</f>
        <v>613320</v>
      </c>
    </row>
    <row r="34" ht="13.5" thickBot="1"/>
    <row r="35" spans="1:7" ht="13.5" thickBot="1">
      <c r="A35" s="899" t="s">
        <v>738</v>
      </c>
      <c r="B35" s="900"/>
      <c r="C35" s="900"/>
      <c r="D35" s="900"/>
      <c r="E35" s="900"/>
      <c r="F35" s="900"/>
      <c r="G35" s="901"/>
    </row>
    <row r="36" spans="1:7" ht="12.75">
      <c r="A36" s="930" t="s">
        <v>729</v>
      </c>
      <c r="B36" s="931" t="s">
        <v>1238</v>
      </c>
      <c r="C36" s="932" t="s">
        <v>730</v>
      </c>
      <c r="D36" s="933" t="s">
        <v>731</v>
      </c>
      <c r="E36" s="934" t="s">
        <v>585</v>
      </c>
      <c r="F36" s="933" t="s">
        <v>742</v>
      </c>
      <c r="G36" s="935" t="s">
        <v>732</v>
      </c>
    </row>
    <row r="37" spans="1:7" ht="12.75">
      <c r="A37" s="908" t="s">
        <v>739</v>
      </c>
      <c r="B37" s="909"/>
      <c r="C37" s="910" t="s">
        <v>734</v>
      </c>
      <c r="D37" s="911">
        <f>D38</f>
        <v>5000</v>
      </c>
      <c r="E37" s="912"/>
      <c r="F37" s="913"/>
      <c r="G37" s="914">
        <f>D37</f>
        <v>5000</v>
      </c>
    </row>
    <row r="38" spans="1:7" s="938" customFormat="1" ht="12.75">
      <c r="A38" s="915" t="s">
        <v>893</v>
      </c>
      <c r="B38" s="916" t="s">
        <v>725</v>
      </c>
      <c r="C38" s="917" t="s">
        <v>882</v>
      </c>
      <c r="D38" s="918">
        <v>5000</v>
      </c>
      <c r="E38" s="919"/>
      <c r="F38" s="920"/>
      <c r="G38" s="921"/>
    </row>
    <row r="39" spans="1:7" ht="12.75">
      <c r="A39" s="908" t="s">
        <v>740</v>
      </c>
      <c r="B39" s="909"/>
      <c r="C39" s="910" t="s">
        <v>741</v>
      </c>
      <c r="D39" s="913"/>
      <c r="E39" s="912">
        <f>SUM(E40:E45)</f>
        <v>440980</v>
      </c>
      <c r="F39" s="913"/>
      <c r="G39" s="914">
        <f>E39</f>
        <v>440980</v>
      </c>
    </row>
    <row r="40" spans="1:8" s="938" customFormat="1" ht="12.75">
      <c r="A40" s="915" t="s">
        <v>894</v>
      </c>
      <c r="B40" s="916" t="s">
        <v>725</v>
      </c>
      <c r="C40" s="917" t="s">
        <v>885</v>
      </c>
      <c r="D40" s="920"/>
      <c r="E40" s="919">
        <v>283980</v>
      </c>
      <c r="F40" s="920"/>
      <c r="G40" s="921"/>
      <c r="H40" s="939"/>
    </row>
    <row r="41" spans="1:8" s="938" customFormat="1" ht="12.75">
      <c r="A41" s="915" t="s">
        <v>1309</v>
      </c>
      <c r="B41" s="916" t="s">
        <v>725</v>
      </c>
      <c r="C41" s="917" t="s">
        <v>1239</v>
      </c>
      <c r="D41" s="920"/>
      <c r="E41" s="919">
        <v>38000</v>
      </c>
      <c r="F41" s="920"/>
      <c r="G41" s="921"/>
      <c r="H41" s="939"/>
    </row>
    <row r="42" spans="1:8" s="938" customFormat="1" ht="12.75">
      <c r="A42" s="915" t="s">
        <v>1312</v>
      </c>
      <c r="B42" s="916" t="s">
        <v>1299</v>
      </c>
      <c r="C42" s="917" t="s">
        <v>1239</v>
      </c>
      <c r="D42" s="920"/>
      <c r="E42" s="919">
        <v>18000</v>
      </c>
      <c r="F42" s="920"/>
      <c r="G42" s="921"/>
      <c r="H42" s="939"/>
    </row>
    <row r="43" spans="1:7" s="938" customFormat="1" ht="12.75">
      <c r="A43" s="915" t="s">
        <v>895</v>
      </c>
      <c r="B43" s="916" t="s">
        <v>725</v>
      </c>
      <c r="C43" s="917" t="s">
        <v>886</v>
      </c>
      <c r="D43" s="920"/>
      <c r="E43" s="919">
        <v>1000</v>
      </c>
      <c r="F43" s="920"/>
      <c r="G43" s="921"/>
    </row>
    <row r="44" spans="1:8" s="938" customFormat="1" ht="12.75">
      <c r="A44" s="915" t="s">
        <v>896</v>
      </c>
      <c r="B44" s="916" t="s">
        <v>725</v>
      </c>
      <c r="C44" s="917" t="s">
        <v>887</v>
      </c>
      <c r="D44" s="920"/>
      <c r="E44" s="919">
        <v>35000</v>
      </c>
      <c r="F44" s="920"/>
      <c r="G44" s="921"/>
      <c r="H44" s="939"/>
    </row>
    <row r="45" spans="1:8" s="938" customFormat="1" ht="12.75">
      <c r="A45" s="915" t="s">
        <v>897</v>
      </c>
      <c r="B45" s="916" t="s">
        <v>725</v>
      </c>
      <c r="C45" s="917" t="s">
        <v>898</v>
      </c>
      <c r="D45" s="920"/>
      <c r="E45" s="919">
        <v>65000</v>
      </c>
      <c r="F45" s="920"/>
      <c r="G45" s="921"/>
      <c r="H45" s="939"/>
    </row>
    <row r="46" spans="1:8" s="948" customFormat="1" ht="12.75">
      <c r="A46" s="941" t="s">
        <v>1301</v>
      </c>
      <c r="B46" s="942"/>
      <c r="C46" s="943" t="s">
        <v>875</v>
      </c>
      <c r="D46" s="944"/>
      <c r="E46" s="945">
        <v>200000</v>
      </c>
      <c r="F46" s="944"/>
      <c r="G46" s="946">
        <f>E46</f>
        <v>200000</v>
      </c>
      <c r="H46" s="947"/>
    </row>
    <row r="47" spans="1:8" s="938" customFormat="1" ht="12.75">
      <c r="A47" s="915" t="s">
        <v>1302</v>
      </c>
      <c r="B47" s="916" t="s">
        <v>725</v>
      </c>
      <c r="C47" s="917" t="s">
        <v>1303</v>
      </c>
      <c r="D47" s="920"/>
      <c r="E47" s="919">
        <v>200000</v>
      </c>
      <c r="F47" s="920"/>
      <c r="G47" s="921"/>
      <c r="H47" s="939"/>
    </row>
    <row r="48" spans="1:8" s="948" customFormat="1" ht="12.75">
      <c r="A48" s="941" t="s">
        <v>1304</v>
      </c>
      <c r="B48" s="942"/>
      <c r="C48" s="943" t="s">
        <v>1307</v>
      </c>
      <c r="D48" s="944"/>
      <c r="E48" s="945">
        <v>5000</v>
      </c>
      <c r="F48" s="944"/>
      <c r="G48" s="946">
        <v>5000</v>
      </c>
      <c r="H48" s="947"/>
    </row>
    <row r="49" spans="1:8" s="955" customFormat="1" ht="12.75">
      <c r="A49" s="915" t="s">
        <v>1305</v>
      </c>
      <c r="B49" s="949" t="s">
        <v>725</v>
      </c>
      <c r="C49" s="950" t="s">
        <v>887</v>
      </c>
      <c r="D49" s="951"/>
      <c r="E49" s="952">
        <v>2000</v>
      </c>
      <c r="F49" s="951"/>
      <c r="G49" s="953"/>
      <c r="H49" s="954"/>
    </row>
    <row r="50" spans="1:8" s="955" customFormat="1" ht="13.5" thickBot="1">
      <c r="A50" s="869" t="s">
        <v>1306</v>
      </c>
      <c r="B50" s="956" t="s">
        <v>725</v>
      </c>
      <c r="C50" s="957" t="s">
        <v>898</v>
      </c>
      <c r="D50" s="958"/>
      <c r="E50" s="959">
        <v>3000</v>
      </c>
      <c r="F50" s="958"/>
      <c r="G50" s="960"/>
      <c r="H50" s="954"/>
    </row>
    <row r="51" spans="1:7" ht="13.5" thickBot="1">
      <c r="A51" s="922" t="s">
        <v>1308</v>
      </c>
      <c r="B51" s="923"/>
      <c r="C51" s="923"/>
      <c r="D51" s="923"/>
      <c r="E51" s="923"/>
      <c r="F51" s="924"/>
      <c r="G51" s="961">
        <f>SUM(G37:G48)</f>
        <v>650980</v>
      </c>
    </row>
    <row r="52" ht="12.75">
      <c r="C52" s="902"/>
    </row>
    <row r="53" ht="13.5" thickBot="1"/>
    <row r="54" spans="1:7" ht="13.5" thickBot="1">
      <c r="A54" s="899" t="s">
        <v>743</v>
      </c>
      <c r="B54" s="900"/>
      <c r="C54" s="900"/>
      <c r="D54" s="900"/>
      <c r="E54" s="900"/>
      <c r="F54" s="900"/>
      <c r="G54" s="901"/>
    </row>
    <row r="55" spans="1:7" ht="12.75">
      <c r="A55" s="930" t="s">
        <v>729</v>
      </c>
      <c r="B55" s="931" t="s">
        <v>1238</v>
      </c>
      <c r="C55" s="932" t="s">
        <v>730</v>
      </c>
      <c r="D55" s="933" t="s">
        <v>731</v>
      </c>
      <c r="E55" s="934" t="s">
        <v>585</v>
      </c>
      <c r="F55" s="933" t="s">
        <v>742</v>
      </c>
      <c r="G55" s="935" t="s">
        <v>732</v>
      </c>
    </row>
    <row r="56" spans="1:7" ht="12.75">
      <c r="A56" s="908" t="s">
        <v>744</v>
      </c>
      <c r="B56" s="909"/>
      <c r="C56" s="910" t="s">
        <v>745</v>
      </c>
      <c r="D56" s="913"/>
      <c r="E56" s="912">
        <f>SUM(E57:E64)</f>
        <v>790540</v>
      </c>
      <c r="F56" s="913"/>
      <c r="G56" s="914">
        <f>E56</f>
        <v>790540</v>
      </c>
    </row>
    <row r="57" spans="1:7" s="938" customFormat="1" ht="12.75">
      <c r="A57" s="915" t="s">
        <v>899</v>
      </c>
      <c r="B57" s="916" t="s">
        <v>725</v>
      </c>
      <c r="C57" s="917" t="s">
        <v>900</v>
      </c>
      <c r="D57" s="920"/>
      <c r="E57" s="919">
        <v>5000</v>
      </c>
      <c r="F57" s="920"/>
      <c r="G57" s="921"/>
    </row>
    <row r="58" spans="1:7" s="938" customFormat="1" ht="12.75">
      <c r="A58" s="915" t="s">
        <v>901</v>
      </c>
      <c r="B58" s="916" t="s">
        <v>725</v>
      </c>
      <c r="C58" s="917" t="s">
        <v>902</v>
      </c>
      <c r="D58" s="920"/>
      <c r="E58" s="919">
        <v>342040</v>
      </c>
      <c r="F58" s="920"/>
      <c r="G58" s="921"/>
    </row>
    <row r="59" spans="1:7" s="938" customFormat="1" ht="12.75">
      <c r="A59" s="915" t="s">
        <v>1313</v>
      </c>
      <c r="B59" s="916" t="s">
        <v>725</v>
      </c>
      <c r="C59" s="917" t="s">
        <v>1300</v>
      </c>
      <c r="D59" s="920"/>
      <c r="E59" s="919">
        <v>90000</v>
      </c>
      <c r="F59" s="920"/>
      <c r="G59" s="921"/>
    </row>
    <row r="60" spans="1:7" s="938" customFormat="1" ht="12.75">
      <c r="A60" s="915" t="s">
        <v>1314</v>
      </c>
      <c r="B60" s="916" t="s">
        <v>725</v>
      </c>
      <c r="C60" s="917" t="s">
        <v>1300</v>
      </c>
      <c r="D60" s="920"/>
      <c r="E60" s="919">
        <v>40000</v>
      </c>
      <c r="F60" s="920"/>
      <c r="G60" s="921"/>
    </row>
    <row r="61" spans="1:8" s="938" customFormat="1" ht="12.75">
      <c r="A61" s="915" t="s">
        <v>903</v>
      </c>
      <c r="B61" s="916" t="s">
        <v>725</v>
      </c>
      <c r="C61" s="917" t="s">
        <v>904</v>
      </c>
      <c r="D61" s="920"/>
      <c r="E61" s="919">
        <v>1000</v>
      </c>
      <c r="F61" s="920"/>
      <c r="G61" s="921"/>
      <c r="H61" s="939"/>
    </row>
    <row r="62" spans="1:8" s="938" customFormat="1" ht="12.75">
      <c r="A62" s="915" t="s">
        <v>905</v>
      </c>
      <c r="B62" s="916" t="s">
        <v>725</v>
      </c>
      <c r="C62" s="917" t="s">
        <v>887</v>
      </c>
      <c r="D62" s="920"/>
      <c r="E62" s="919">
        <v>36500</v>
      </c>
      <c r="F62" s="920"/>
      <c r="G62" s="921"/>
      <c r="H62" s="939"/>
    </row>
    <row r="63" spans="1:7" s="938" customFormat="1" ht="12.75">
      <c r="A63" s="915" t="s">
        <v>908</v>
      </c>
      <c r="B63" s="916" t="s">
        <v>725</v>
      </c>
      <c r="C63" s="917" t="s">
        <v>909</v>
      </c>
      <c r="D63" s="920"/>
      <c r="E63" s="919">
        <v>26000</v>
      </c>
      <c r="F63" s="920"/>
      <c r="G63" s="921"/>
    </row>
    <row r="64" spans="1:7" s="938" customFormat="1" ht="12.75">
      <c r="A64" s="915" t="s">
        <v>906</v>
      </c>
      <c r="B64" s="916" t="s">
        <v>725</v>
      </c>
      <c r="C64" s="917" t="s">
        <v>907</v>
      </c>
      <c r="D64" s="920"/>
      <c r="E64" s="919">
        <v>250000</v>
      </c>
      <c r="F64" s="920"/>
      <c r="G64" s="921"/>
    </row>
    <row r="65" spans="1:7" ht="12.75">
      <c r="A65" s="908" t="s">
        <v>746</v>
      </c>
      <c r="B65" s="916"/>
      <c r="C65" s="910" t="s">
        <v>747</v>
      </c>
      <c r="D65" s="913"/>
      <c r="E65" s="912">
        <v>3500</v>
      </c>
      <c r="F65" s="913"/>
      <c r="G65" s="914">
        <f>E65</f>
        <v>3500</v>
      </c>
    </row>
    <row r="66" spans="1:7" s="964" customFormat="1" ht="12.75">
      <c r="A66" s="962" t="s">
        <v>910</v>
      </c>
      <c r="B66" s="916" t="s">
        <v>725</v>
      </c>
      <c r="C66" s="917" t="s">
        <v>911</v>
      </c>
      <c r="D66" s="917"/>
      <c r="E66" s="919">
        <v>3500</v>
      </c>
      <c r="F66" s="917"/>
      <c r="G66" s="963"/>
    </row>
    <row r="67" spans="1:7" ht="12.75">
      <c r="A67" s="965" t="s">
        <v>748</v>
      </c>
      <c r="B67" s="916"/>
      <c r="C67" s="910" t="s">
        <v>734</v>
      </c>
      <c r="D67" s="911">
        <f>D68</f>
        <v>5000</v>
      </c>
      <c r="E67" s="912"/>
      <c r="F67" s="913"/>
      <c r="G67" s="914">
        <v>5000</v>
      </c>
    </row>
    <row r="68" spans="1:7" s="938" customFormat="1" ht="12.75">
      <c r="A68" s="966" t="s">
        <v>912</v>
      </c>
      <c r="B68" s="916" t="s">
        <v>725</v>
      </c>
      <c r="C68" s="917" t="s">
        <v>913</v>
      </c>
      <c r="D68" s="918">
        <v>5000</v>
      </c>
      <c r="E68" s="919"/>
      <c r="F68" s="920"/>
      <c r="G68" s="921"/>
    </row>
    <row r="69" spans="1:7" ht="12.75">
      <c r="A69" s="965" t="s">
        <v>749</v>
      </c>
      <c r="B69" s="916"/>
      <c r="C69" s="910" t="s">
        <v>750</v>
      </c>
      <c r="D69" s="913"/>
      <c r="E69" s="912">
        <v>50000</v>
      </c>
      <c r="F69" s="913"/>
      <c r="G69" s="914">
        <f>E69</f>
        <v>50000</v>
      </c>
    </row>
    <row r="70" spans="1:7" s="938" customFormat="1" ht="12.75">
      <c r="A70" s="966" t="s">
        <v>914</v>
      </c>
      <c r="B70" s="916" t="s">
        <v>725</v>
      </c>
      <c r="C70" s="917" t="s">
        <v>907</v>
      </c>
      <c r="D70" s="920"/>
      <c r="E70" s="919">
        <v>50000</v>
      </c>
      <c r="F70" s="920"/>
      <c r="G70" s="921"/>
    </row>
    <row r="71" spans="1:7" ht="12.75">
      <c r="A71" s="967" t="s">
        <v>1361</v>
      </c>
      <c r="B71" s="916" t="s">
        <v>725</v>
      </c>
      <c r="C71" s="910" t="s">
        <v>751</v>
      </c>
      <c r="D71" s="913"/>
      <c r="E71" s="912"/>
      <c r="F71" s="911">
        <v>40000</v>
      </c>
      <c r="G71" s="914">
        <f>F71</f>
        <v>40000</v>
      </c>
    </row>
    <row r="72" spans="1:7" s="938" customFormat="1" ht="13.5" thickBot="1">
      <c r="A72" s="968" t="s">
        <v>915</v>
      </c>
      <c r="B72" s="969" t="s">
        <v>725</v>
      </c>
      <c r="C72" s="970" t="s">
        <v>916</v>
      </c>
      <c r="D72" s="971"/>
      <c r="E72" s="972"/>
      <c r="F72" s="973">
        <v>40000</v>
      </c>
      <c r="G72" s="974"/>
    </row>
    <row r="73" spans="1:7" ht="13.5" thickBot="1">
      <c r="A73" s="922" t="s">
        <v>1315</v>
      </c>
      <c r="B73" s="923"/>
      <c r="C73" s="923"/>
      <c r="D73" s="923"/>
      <c r="E73" s="923"/>
      <c r="F73" s="924"/>
      <c r="G73" s="925">
        <f>SUM(G56:G71)</f>
        <v>889040</v>
      </c>
    </row>
    <row r="75" ht="13.5" thickBot="1"/>
    <row r="76" spans="1:7" ht="13.5" thickBot="1">
      <c r="A76" s="899" t="s">
        <v>752</v>
      </c>
      <c r="B76" s="900"/>
      <c r="C76" s="900"/>
      <c r="D76" s="900"/>
      <c r="E76" s="900"/>
      <c r="F76" s="900"/>
      <c r="G76" s="901"/>
    </row>
    <row r="77" spans="1:7" ht="12.75">
      <c r="A77" s="903" t="s">
        <v>729</v>
      </c>
      <c r="B77" s="975" t="s">
        <v>1238</v>
      </c>
      <c r="C77" s="904" t="s">
        <v>730</v>
      </c>
      <c r="D77" s="905" t="s">
        <v>731</v>
      </c>
      <c r="E77" s="906" t="s">
        <v>585</v>
      </c>
      <c r="F77" s="905" t="s">
        <v>742</v>
      </c>
      <c r="G77" s="907" t="s">
        <v>732</v>
      </c>
    </row>
    <row r="78" spans="1:7" ht="12.75">
      <c r="A78" s="908" t="s">
        <v>753</v>
      </c>
      <c r="B78" s="909"/>
      <c r="C78" s="910" t="s">
        <v>734</v>
      </c>
      <c r="D78" s="911">
        <v>5000</v>
      </c>
      <c r="E78" s="912"/>
      <c r="F78" s="913"/>
      <c r="G78" s="914">
        <f>E78+F78+D78</f>
        <v>5000</v>
      </c>
    </row>
    <row r="79" spans="1:7" s="938" customFormat="1" ht="12.75">
      <c r="A79" s="915" t="s">
        <v>917</v>
      </c>
      <c r="B79" s="916" t="s">
        <v>725</v>
      </c>
      <c r="C79" s="917" t="s">
        <v>913</v>
      </c>
      <c r="D79" s="918">
        <v>5000</v>
      </c>
      <c r="E79" s="919"/>
      <c r="F79" s="920"/>
      <c r="G79" s="921"/>
    </row>
    <row r="80" spans="1:7" ht="12.75">
      <c r="A80" s="908" t="s">
        <v>754</v>
      </c>
      <c r="B80" s="909"/>
      <c r="C80" s="910" t="s">
        <v>755</v>
      </c>
      <c r="D80" s="913"/>
      <c r="E80" s="912">
        <f>SUM(E81:E88)</f>
        <v>637524</v>
      </c>
      <c r="F80" s="913"/>
      <c r="G80" s="914">
        <f>E80</f>
        <v>637524</v>
      </c>
    </row>
    <row r="81" spans="1:7" s="938" customFormat="1" ht="12.75">
      <c r="A81" s="915" t="s">
        <v>918</v>
      </c>
      <c r="B81" s="916" t="s">
        <v>725</v>
      </c>
      <c r="C81" s="917" t="s">
        <v>919</v>
      </c>
      <c r="D81" s="920"/>
      <c r="E81" s="919">
        <v>443424</v>
      </c>
      <c r="F81" s="920"/>
      <c r="G81" s="921"/>
    </row>
    <row r="82" spans="1:7" s="938" customFormat="1" ht="12.75">
      <c r="A82" s="915" t="s">
        <v>1316</v>
      </c>
      <c r="B82" s="916" t="s">
        <v>725</v>
      </c>
      <c r="C82" s="917" t="s">
        <v>1300</v>
      </c>
      <c r="D82" s="920"/>
      <c r="E82" s="919">
        <v>36000</v>
      </c>
      <c r="F82" s="920"/>
      <c r="G82" s="921"/>
    </row>
    <row r="83" spans="1:7" s="938" customFormat="1" ht="12.75">
      <c r="A83" s="915" t="s">
        <v>1317</v>
      </c>
      <c r="B83" s="916" t="s">
        <v>725</v>
      </c>
      <c r="C83" s="917" t="s">
        <v>1300</v>
      </c>
      <c r="D83" s="920"/>
      <c r="E83" s="919">
        <v>61000</v>
      </c>
      <c r="F83" s="920"/>
      <c r="G83" s="921"/>
    </row>
    <row r="84" spans="1:7" s="938" customFormat="1" ht="12.75">
      <c r="A84" s="915" t="s">
        <v>920</v>
      </c>
      <c r="B84" s="916" t="s">
        <v>725</v>
      </c>
      <c r="C84" s="917" t="s">
        <v>921</v>
      </c>
      <c r="D84" s="920"/>
      <c r="E84" s="919">
        <v>2000</v>
      </c>
      <c r="F84" s="920"/>
      <c r="G84" s="921"/>
    </row>
    <row r="85" spans="1:7" s="938" customFormat="1" ht="12.75">
      <c r="A85" s="915" t="s">
        <v>927</v>
      </c>
      <c r="B85" s="916" t="s">
        <v>725</v>
      </c>
      <c r="C85" s="917" t="s">
        <v>926</v>
      </c>
      <c r="D85" s="920"/>
      <c r="E85" s="919">
        <v>1000</v>
      </c>
      <c r="F85" s="920"/>
      <c r="G85" s="921"/>
    </row>
    <row r="86" spans="1:7" s="938" customFormat="1" ht="12.75">
      <c r="A86" s="915" t="s">
        <v>922</v>
      </c>
      <c r="B86" s="916" t="s">
        <v>725</v>
      </c>
      <c r="C86" s="917" t="s">
        <v>923</v>
      </c>
      <c r="D86" s="920"/>
      <c r="E86" s="919">
        <v>20600</v>
      </c>
      <c r="F86" s="920"/>
      <c r="G86" s="921"/>
    </row>
    <row r="87" spans="1:8" s="938" customFormat="1" ht="12.75">
      <c r="A87" s="915" t="s">
        <v>924</v>
      </c>
      <c r="B87" s="916" t="s">
        <v>725</v>
      </c>
      <c r="C87" s="917" t="s">
        <v>1047</v>
      </c>
      <c r="D87" s="920"/>
      <c r="E87" s="919">
        <v>60000</v>
      </c>
      <c r="F87" s="920"/>
      <c r="G87" s="921"/>
      <c r="H87" s="939"/>
    </row>
    <row r="88" spans="1:8" s="938" customFormat="1" ht="13.5" thickBot="1">
      <c r="A88" s="915" t="s">
        <v>925</v>
      </c>
      <c r="B88" s="916" t="s">
        <v>725</v>
      </c>
      <c r="C88" s="917" t="s">
        <v>926</v>
      </c>
      <c r="D88" s="920"/>
      <c r="E88" s="919">
        <v>13500</v>
      </c>
      <c r="F88" s="920"/>
      <c r="G88" s="921"/>
      <c r="H88" s="939"/>
    </row>
    <row r="89" spans="1:8" ht="13.5" thickBot="1">
      <c r="A89" s="922" t="s">
        <v>1348</v>
      </c>
      <c r="B89" s="923"/>
      <c r="C89" s="923"/>
      <c r="D89" s="923"/>
      <c r="E89" s="923"/>
      <c r="F89" s="924"/>
      <c r="G89" s="925">
        <f>SUM(G78:G80)</f>
        <v>642524</v>
      </c>
      <c r="H89" s="928"/>
    </row>
    <row r="92" ht="13.5" thickBot="1"/>
    <row r="93" spans="1:7" ht="13.5" thickBot="1">
      <c r="A93" s="899" t="s">
        <v>756</v>
      </c>
      <c r="B93" s="900"/>
      <c r="C93" s="900"/>
      <c r="D93" s="900"/>
      <c r="E93" s="900"/>
      <c r="F93" s="900"/>
      <c r="G93" s="901"/>
    </row>
    <row r="94" spans="1:7" ht="12.75">
      <c r="A94" s="930" t="s">
        <v>729</v>
      </c>
      <c r="B94" s="931" t="s">
        <v>1238</v>
      </c>
      <c r="C94" s="932" t="s">
        <v>730</v>
      </c>
      <c r="D94" s="933" t="s">
        <v>731</v>
      </c>
      <c r="E94" s="934" t="s">
        <v>585</v>
      </c>
      <c r="F94" s="933" t="s">
        <v>742</v>
      </c>
      <c r="G94" s="935" t="s">
        <v>732</v>
      </c>
    </row>
    <row r="95" spans="1:7" ht="12.75">
      <c r="A95" s="908" t="s">
        <v>757</v>
      </c>
      <c r="B95" s="909"/>
      <c r="C95" s="910" t="s">
        <v>734</v>
      </c>
      <c r="D95" s="912">
        <v>180000</v>
      </c>
      <c r="E95" s="912">
        <v>50000</v>
      </c>
      <c r="F95" s="912"/>
      <c r="G95" s="914">
        <f>E95+F95+D95</f>
        <v>230000</v>
      </c>
    </row>
    <row r="96" spans="1:7" s="938" customFormat="1" ht="12.75">
      <c r="A96" s="915" t="s">
        <v>928</v>
      </c>
      <c r="B96" s="916" t="s">
        <v>1243</v>
      </c>
      <c r="C96" s="917" t="s">
        <v>882</v>
      </c>
      <c r="D96" s="919">
        <v>180000</v>
      </c>
      <c r="E96" s="919">
        <v>50000</v>
      </c>
      <c r="F96" s="919"/>
      <c r="G96" s="921"/>
    </row>
    <row r="97" spans="1:7" ht="12.75">
      <c r="A97" s="908" t="s">
        <v>758</v>
      </c>
      <c r="B97" s="909"/>
      <c r="C97" s="910" t="s">
        <v>747</v>
      </c>
      <c r="D97" s="912">
        <v>342380.04</v>
      </c>
      <c r="E97" s="912"/>
      <c r="F97" s="912"/>
      <c r="G97" s="914">
        <f>E97+F97+D97</f>
        <v>342380.04</v>
      </c>
    </row>
    <row r="98" spans="1:7" s="938" customFormat="1" ht="12.75">
      <c r="A98" s="915" t="s">
        <v>929</v>
      </c>
      <c r="B98" s="916" t="s">
        <v>1243</v>
      </c>
      <c r="C98" s="917" t="s">
        <v>930</v>
      </c>
      <c r="D98" s="919">
        <v>142380.04</v>
      </c>
      <c r="E98" s="919"/>
      <c r="F98" s="919"/>
      <c r="G98" s="921"/>
    </row>
    <row r="99" spans="1:7" s="938" customFormat="1" ht="12.75">
      <c r="A99" s="915" t="s">
        <v>931</v>
      </c>
      <c r="B99" s="916" t="s">
        <v>1244</v>
      </c>
      <c r="C99" s="917" t="s">
        <v>930</v>
      </c>
      <c r="D99" s="919">
        <v>100000</v>
      </c>
      <c r="E99" s="919"/>
      <c r="F99" s="919"/>
      <c r="G99" s="921"/>
    </row>
    <row r="100" spans="1:7" s="938" customFormat="1" ht="12.75">
      <c r="A100" s="915" t="s">
        <v>931</v>
      </c>
      <c r="B100" s="916" t="s">
        <v>954</v>
      </c>
      <c r="C100" s="917" t="s">
        <v>930</v>
      </c>
      <c r="D100" s="919">
        <v>100000</v>
      </c>
      <c r="E100" s="919"/>
      <c r="F100" s="919"/>
      <c r="G100" s="921"/>
    </row>
    <row r="101" spans="1:7" ht="12.75">
      <c r="A101" s="965" t="s">
        <v>759</v>
      </c>
      <c r="B101" s="909"/>
      <c r="C101" s="910" t="s">
        <v>760</v>
      </c>
      <c r="D101" s="912">
        <v>20000</v>
      </c>
      <c r="E101" s="912">
        <f>SUM(E102:E107)</f>
        <v>970000</v>
      </c>
      <c r="F101" s="912"/>
      <c r="G101" s="914">
        <f>E101+F101+D101</f>
        <v>990000</v>
      </c>
    </row>
    <row r="102" spans="1:7" s="938" customFormat="1" ht="12.75">
      <c r="A102" s="966" t="s">
        <v>932</v>
      </c>
      <c r="B102" s="916" t="s">
        <v>1243</v>
      </c>
      <c r="C102" s="917" t="s">
        <v>885</v>
      </c>
      <c r="D102" s="919"/>
      <c r="E102" s="919">
        <v>724000</v>
      </c>
      <c r="F102" s="919"/>
      <c r="G102" s="921"/>
    </row>
    <row r="103" spans="1:7" s="938" customFormat="1" ht="12.75">
      <c r="A103" s="966" t="s">
        <v>1318</v>
      </c>
      <c r="B103" s="916" t="s">
        <v>1243</v>
      </c>
      <c r="C103" s="917" t="s">
        <v>1300</v>
      </c>
      <c r="D103" s="919"/>
      <c r="E103" s="919">
        <v>20000</v>
      </c>
      <c r="F103" s="919"/>
      <c r="G103" s="921"/>
    </row>
    <row r="104" spans="1:7" s="938" customFormat="1" ht="12.75">
      <c r="A104" s="966" t="s">
        <v>1319</v>
      </c>
      <c r="B104" s="916" t="s">
        <v>1243</v>
      </c>
      <c r="C104" s="917" t="s">
        <v>1300</v>
      </c>
      <c r="D104" s="919"/>
      <c r="E104" s="919">
        <v>20000</v>
      </c>
      <c r="F104" s="919"/>
      <c r="G104" s="921"/>
    </row>
    <row r="105" spans="1:7" s="938" customFormat="1" ht="12.75">
      <c r="A105" s="966" t="s">
        <v>933</v>
      </c>
      <c r="B105" s="916" t="s">
        <v>1243</v>
      </c>
      <c r="C105" s="917" t="s">
        <v>921</v>
      </c>
      <c r="D105" s="919"/>
      <c r="E105" s="919">
        <v>1000</v>
      </c>
      <c r="F105" s="919"/>
      <c r="G105" s="921"/>
    </row>
    <row r="106" spans="1:10" s="938" customFormat="1" ht="12.75">
      <c r="A106" s="966" t="s">
        <v>934</v>
      </c>
      <c r="B106" s="916" t="s">
        <v>1243</v>
      </c>
      <c r="C106" s="917" t="s">
        <v>935</v>
      </c>
      <c r="D106" s="919"/>
      <c r="E106" s="919">
        <v>55000</v>
      </c>
      <c r="F106" s="919"/>
      <c r="G106" s="921"/>
      <c r="J106" s="939"/>
    </row>
    <row r="107" spans="1:7" s="938" customFormat="1" ht="12.75">
      <c r="A107" s="966" t="s">
        <v>936</v>
      </c>
      <c r="B107" s="916" t="s">
        <v>1243</v>
      </c>
      <c r="C107" s="917" t="s">
        <v>946</v>
      </c>
      <c r="D107" s="919">
        <v>20000</v>
      </c>
      <c r="E107" s="919">
        <v>150000</v>
      </c>
      <c r="F107" s="919"/>
      <c r="G107" s="921"/>
    </row>
    <row r="108" spans="1:10" ht="12.75">
      <c r="A108" s="965" t="s">
        <v>761</v>
      </c>
      <c r="B108" s="909"/>
      <c r="C108" s="910" t="s">
        <v>734</v>
      </c>
      <c r="D108" s="912">
        <v>8000</v>
      </c>
      <c r="E108" s="912">
        <v>50000</v>
      </c>
      <c r="F108" s="912"/>
      <c r="G108" s="914">
        <f>E108+F108+D108</f>
        <v>58000</v>
      </c>
      <c r="J108" s="928"/>
    </row>
    <row r="109" spans="1:10" s="938" customFormat="1" ht="12.75">
      <c r="A109" s="966" t="s">
        <v>937</v>
      </c>
      <c r="B109" s="916" t="s">
        <v>1243</v>
      </c>
      <c r="C109" s="917" t="s">
        <v>913</v>
      </c>
      <c r="D109" s="919">
        <v>8000</v>
      </c>
      <c r="E109" s="919">
        <v>50000</v>
      </c>
      <c r="F109" s="919"/>
      <c r="G109" s="921"/>
      <c r="J109" s="939"/>
    </row>
    <row r="110" spans="1:10" ht="12.75">
      <c r="A110" s="965" t="s">
        <v>762</v>
      </c>
      <c r="B110" s="909"/>
      <c r="C110" s="910" t="s">
        <v>763</v>
      </c>
      <c r="D110" s="912"/>
      <c r="E110" s="912">
        <f>SUM(E111:E121)</f>
        <v>1018723.96</v>
      </c>
      <c r="F110" s="912"/>
      <c r="G110" s="914">
        <f>E110+F110+D110</f>
        <v>1018723.96</v>
      </c>
      <c r="J110" s="928"/>
    </row>
    <row r="111" spans="1:10" s="938" customFormat="1" ht="12.75">
      <c r="A111" s="966" t="s">
        <v>938</v>
      </c>
      <c r="B111" s="916" t="s">
        <v>1243</v>
      </c>
      <c r="C111" s="917" t="s">
        <v>885</v>
      </c>
      <c r="D111" s="919"/>
      <c r="E111" s="919">
        <v>44223.96</v>
      </c>
      <c r="F111" s="919"/>
      <c r="G111" s="921"/>
      <c r="J111" s="939"/>
    </row>
    <row r="112" spans="1:10" s="938" customFormat="1" ht="12.75">
      <c r="A112" s="966" t="s">
        <v>1320</v>
      </c>
      <c r="B112" s="916" t="s">
        <v>1243</v>
      </c>
      <c r="C112" s="917" t="s">
        <v>1300</v>
      </c>
      <c r="D112" s="919"/>
      <c r="E112" s="919">
        <v>1000</v>
      </c>
      <c r="F112" s="919"/>
      <c r="G112" s="921"/>
      <c r="J112" s="939"/>
    </row>
    <row r="113" spans="1:10" s="938" customFormat="1" ht="12.75">
      <c r="A113" s="966" t="s">
        <v>1321</v>
      </c>
      <c r="B113" s="916" t="s">
        <v>1243</v>
      </c>
      <c r="C113" s="917" t="s">
        <v>1300</v>
      </c>
      <c r="D113" s="919"/>
      <c r="E113" s="919">
        <v>1000</v>
      </c>
      <c r="F113" s="919"/>
      <c r="G113" s="921"/>
      <c r="J113" s="939"/>
    </row>
    <row r="114" spans="1:10" s="938" customFormat="1" ht="12.75">
      <c r="A114" s="966" t="s">
        <v>938</v>
      </c>
      <c r="B114" s="916" t="s">
        <v>1244</v>
      </c>
      <c r="C114" s="917" t="s">
        <v>885</v>
      </c>
      <c r="D114" s="919"/>
      <c r="E114" s="919">
        <v>875000</v>
      </c>
      <c r="F114" s="919"/>
      <c r="G114" s="921"/>
      <c r="J114" s="939"/>
    </row>
    <row r="115" spans="1:10" s="938" customFormat="1" ht="12.75">
      <c r="A115" s="966" t="s">
        <v>1320</v>
      </c>
      <c r="B115" s="916" t="s">
        <v>1244</v>
      </c>
      <c r="C115" s="917" t="s">
        <v>1300</v>
      </c>
      <c r="D115" s="919"/>
      <c r="E115" s="919">
        <v>1000</v>
      </c>
      <c r="F115" s="919"/>
      <c r="G115" s="921"/>
      <c r="J115" s="939"/>
    </row>
    <row r="116" spans="1:10" s="938" customFormat="1" ht="12.75">
      <c r="A116" s="966" t="s">
        <v>1321</v>
      </c>
      <c r="B116" s="916" t="s">
        <v>1244</v>
      </c>
      <c r="C116" s="917" t="s">
        <v>1300</v>
      </c>
      <c r="D116" s="919"/>
      <c r="E116" s="919">
        <v>1000</v>
      </c>
      <c r="F116" s="919"/>
      <c r="G116" s="921"/>
      <c r="J116" s="939"/>
    </row>
    <row r="117" spans="1:10" s="938" customFormat="1" ht="12.75">
      <c r="A117" s="966" t="s">
        <v>939</v>
      </c>
      <c r="B117" s="916" t="s">
        <v>1243</v>
      </c>
      <c r="C117" s="917" t="s">
        <v>935</v>
      </c>
      <c r="D117" s="919"/>
      <c r="E117" s="919">
        <v>30000</v>
      </c>
      <c r="F117" s="919"/>
      <c r="G117" s="921"/>
      <c r="J117" s="939"/>
    </row>
    <row r="118" spans="1:10" s="938" customFormat="1" ht="12.75">
      <c r="A118" s="966" t="s">
        <v>939</v>
      </c>
      <c r="B118" s="916" t="s">
        <v>1244</v>
      </c>
      <c r="C118" s="917" t="s">
        <v>935</v>
      </c>
      <c r="D118" s="919"/>
      <c r="E118" s="919">
        <v>25000</v>
      </c>
      <c r="F118" s="919"/>
      <c r="G118" s="921"/>
      <c r="J118" s="939"/>
    </row>
    <row r="119" spans="1:10" s="938" customFormat="1" ht="12.75">
      <c r="A119" s="966" t="s">
        <v>947</v>
      </c>
      <c r="B119" s="916" t="s">
        <v>1243</v>
      </c>
      <c r="C119" s="917" t="s">
        <v>945</v>
      </c>
      <c r="D119" s="919"/>
      <c r="E119" s="919">
        <v>500</v>
      </c>
      <c r="F119" s="919"/>
      <c r="G119" s="921"/>
      <c r="J119" s="939"/>
    </row>
    <row r="120" spans="1:10" s="938" customFormat="1" ht="12.75">
      <c r="A120" s="966" t="s">
        <v>940</v>
      </c>
      <c r="B120" s="916" t="s">
        <v>1243</v>
      </c>
      <c r="C120" s="917" t="s">
        <v>946</v>
      </c>
      <c r="D120" s="919"/>
      <c r="E120" s="919">
        <v>20000</v>
      </c>
      <c r="F120" s="919"/>
      <c r="G120" s="921"/>
      <c r="J120" s="939"/>
    </row>
    <row r="121" spans="1:10" s="938" customFormat="1" ht="12.75">
      <c r="A121" s="966" t="s">
        <v>940</v>
      </c>
      <c r="B121" s="916" t="s">
        <v>1244</v>
      </c>
      <c r="C121" s="917" t="s">
        <v>946</v>
      </c>
      <c r="D121" s="919"/>
      <c r="E121" s="919">
        <v>20000</v>
      </c>
      <c r="F121" s="919"/>
      <c r="G121" s="921"/>
      <c r="J121" s="939"/>
    </row>
    <row r="122" spans="1:7" ht="12.75">
      <c r="A122" s="965" t="s">
        <v>764</v>
      </c>
      <c r="B122" s="909"/>
      <c r="C122" s="910" t="s">
        <v>765</v>
      </c>
      <c r="D122" s="912"/>
      <c r="E122" s="912">
        <v>2292599</v>
      </c>
      <c r="F122" s="912"/>
      <c r="G122" s="914">
        <f>E122+F122+D122</f>
        <v>2292599</v>
      </c>
    </row>
    <row r="123" spans="1:7" s="938" customFormat="1" ht="12.75">
      <c r="A123" s="966" t="s">
        <v>1322</v>
      </c>
      <c r="B123" s="916" t="s">
        <v>1244</v>
      </c>
      <c r="C123" s="917" t="s">
        <v>885</v>
      </c>
      <c r="D123" s="919"/>
      <c r="E123" s="919">
        <v>2292599</v>
      </c>
      <c r="F123" s="919"/>
      <c r="G123" s="921"/>
    </row>
    <row r="124" spans="1:7" ht="12.75">
      <c r="A124" s="965" t="s">
        <v>766</v>
      </c>
      <c r="B124" s="909"/>
      <c r="C124" s="910" t="s">
        <v>734</v>
      </c>
      <c r="D124" s="912">
        <v>8000</v>
      </c>
      <c r="E124" s="912">
        <v>50000</v>
      </c>
      <c r="F124" s="912"/>
      <c r="G124" s="914">
        <f>E124+F124+D124</f>
        <v>58000</v>
      </c>
    </row>
    <row r="125" spans="1:7" s="938" customFormat="1" ht="12.75">
      <c r="A125" s="966" t="s">
        <v>941</v>
      </c>
      <c r="B125" s="916" t="s">
        <v>1243</v>
      </c>
      <c r="C125" s="917" t="s">
        <v>882</v>
      </c>
      <c r="D125" s="919">
        <v>8000</v>
      </c>
      <c r="E125" s="919">
        <v>20000</v>
      </c>
      <c r="F125" s="919"/>
      <c r="G125" s="921"/>
    </row>
    <row r="126" spans="1:7" s="938" customFormat="1" ht="12.75">
      <c r="A126" s="966" t="s">
        <v>941</v>
      </c>
      <c r="B126" s="916" t="s">
        <v>954</v>
      </c>
      <c r="C126" s="917" t="s">
        <v>882</v>
      </c>
      <c r="D126" s="919"/>
      <c r="E126" s="919">
        <v>10000</v>
      </c>
      <c r="F126" s="919"/>
      <c r="G126" s="921"/>
    </row>
    <row r="127" spans="1:7" s="938" customFormat="1" ht="12.75">
      <c r="A127" s="966" t="s">
        <v>941</v>
      </c>
      <c r="B127" s="916" t="s">
        <v>1244</v>
      </c>
      <c r="C127" s="917" t="s">
        <v>913</v>
      </c>
      <c r="D127" s="919"/>
      <c r="E127" s="919">
        <v>20000</v>
      </c>
      <c r="F127" s="919"/>
      <c r="G127" s="921"/>
    </row>
    <row r="128" spans="1:7" ht="12.75">
      <c r="A128" s="965" t="s">
        <v>767</v>
      </c>
      <c r="B128" s="909"/>
      <c r="C128" s="910" t="s">
        <v>768</v>
      </c>
      <c r="D128" s="912">
        <v>148000</v>
      </c>
      <c r="E128" s="912">
        <f>SUM(E129:E140)</f>
        <v>2593000</v>
      </c>
      <c r="F128" s="912"/>
      <c r="G128" s="914">
        <f>E128+F128+D128</f>
        <v>2741000</v>
      </c>
    </row>
    <row r="129" spans="1:7" s="938" customFormat="1" ht="12.75">
      <c r="A129" s="966" t="s">
        <v>942</v>
      </c>
      <c r="B129" s="916" t="s">
        <v>1243</v>
      </c>
      <c r="C129" s="917" t="s">
        <v>885</v>
      </c>
      <c r="D129" s="919">
        <v>148000</v>
      </c>
      <c r="E129" s="919">
        <v>500000</v>
      </c>
      <c r="F129" s="919"/>
      <c r="G129" s="921"/>
    </row>
    <row r="130" spans="1:7" s="938" customFormat="1" ht="12.75">
      <c r="A130" s="966" t="s">
        <v>1323</v>
      </c>
      <c r="B130" s="916" t="s">
        <v>1243</v>
      </c>
      <c r="C130" s="917" t="s">
        <v>1300</v>
      </c>
      <c r="D130" s="919"/>
      <c r="E130" s="919">
        <v>326000</v>
      </c>
      <c r="F130" s="919"/>
      <c r="G130" s="921"/>
    </row>
    <row r="131" spans="1:7" s="938" customFormat="1" ht="12.75">
      <c r="A131" s="966" t="s">
        <v>1324</v>
      </c>
      <c r="B131" s="916" t="s">
        <v>1243</v>
      </c>
      <c r="C131" s="917" t="s">
        <v>1300</v>
      </c>
      <c r="D131" s="919"/>
      <c r="E131" s="919">
        <v>395000</v>
      </c>
      <c r="F131" s="919"/>
      <c r="G131" s="921"/>
    </row>
    <row r="132" spans="1:7" s="938" customFormat="1" ht="12.75">
      <c r="A132" s="966" t="s">
        <v>942</v>
      </c>
      <c r="B132" s="916" t="s">
        <v>1244</v>
      </c>
      <c r="C132" s="917" t="s">
        <v>885</v>
      </c>
      <c r="D132" s="919"/>
      <c r="E132" s="919">
        <v>900000</v>
      </c>
      <c r="F132" s="919"/>
      <c r="G132" s="921"/>
    </row>
    <row r="133" spans="1:7" s="938" customFormat="1" ht="12.75">
      <c r="A133" s="966" t="s">
        <v>943</v>
      </c>
      <c r="B133" s="916" t="s">
        <v>1243</v>
      </c>
      <c r="C133" s="917" t="s">
        <v>935</v>
      </c>
      <c r="D133" s="919"/>
      <c r="E133" s="919">
        <v>100000</v>
      </c>
      <c r="F133" s="919"/>
      <c r="G133" s="921"/>
    </row>
    <row r="134" spans="1:8" s="938" customFormat="1" ht="12.75">
      <c r="A134" s="966" t="s">
        <v>943</v>
      </c>
      <c r="B134" s="916" t="s">
        <v>1244</v>
      </c>
      <c r="C134" s="917" t="s">
        <v>935</v>
      </c>
      <c r="D134" s="919"/>
      <c r="E134" s="919">
        <v>80000</v>
      </c>
      <c r="F134" s="919"/>
      <c r="G134" s="921"/>
      <c r="H134" s="939"/>
    </row>
    <row r="135" spans="1:7" s="938" customFormat="1" ht="12.75">
      <c r="A135" s="966" t="s">
        <v>943</v>
      </c>
      <c r="B135" s="916" t="s">
        <v>954</v>
      </c>
      <c r="C135" s="917" t="s">
        <v>935</v>
      </c>
      <c r="D135" s="919"/>
      <c r="E135" s="919">
        <v>50000</v>
      </c>
      <c r="F135" s="919"/>
      <c r="G135" s="921"/>
    </row>
    <row r="136" spans="1:7" s="938" customFormat="1" ht="12.75">
      <c r="A136" s="966" t="s">
        <v>944</v>
      </c>
      <c r="B136" s="916" t="s">
        <v>1243</v>
      </c>
      <c r="C136" s="917" t="s">
        <v>945</v>
      </c>
      <c r="D136" s="919"/>
      <c r="E136" s="919">
        <v>1000</v>
      </c>
      <c r="F136" s="919"/>
      <c r="G136" s="921"/>
    </row>
    <row r="137" spans="1:7" s="938" customFormat="1" ht="12.75">
      <c r="A137" s="966" t="s">
        <v>944</v>
      </c>
      <c r="B137" s="916" t="s">
        <v>1244</v>
      </c>
      <c r="C137" s="917" t="s">
        <v>945</v>
      </c>
      <c r="D137" s="919"/>
      <c r="E137" s="919">
        <v>1000</v>
      </c>
      <c r="F137" s="919"/>
      <c r="G137" s="921"/>
    </row>
    <row r="138" spans="1:7" s="938" customFormat="1" ht="12.75">
      <c r="A138" s="966" t="s">
        <v>948</v>
      </c>
      <c r="B138" s="916" t="s">
        <v>1243</v>
      </c>
      <c r="C138" s="917" t="s">
        <v>946</v>
      </c>
      <c r="D138" s="919"/>
      <c r="E138" s="919">
        <v>80000</v>
      </c>
      <c r="F138" s="919"/>
      <c r="G138" s="921"/>
    </row>
    <row r="139" spans="1:7" s="938" customFormat="1" ht="12.75">
      <c r="A139" s="966" t="s">
        <v>948</v>
      </c>
      <c r="B139" s="916" t="s">
        <v>1244</v>
      </c>
      <c r="C139" s="917" t="s">
        <v>946</v>
      </c>
      <c r="D139" s="919"/>
      <c r="E139" s="919">
        <v>80000</v>
      </c>
      <c r="F139" s="919"/>
      <c r="G139" s="921"/>
    </row>
    <row r="140" spans="1:7" s="938" customFormat="1" ht="12.75">
      <c r="A140" s="966" t="s">
        <v>948</v>
      </c>
      <c r="B140" s="916" t="s">
        <v>954</v>
      </c>
      <c r="C140" s="917" t="s">
        <v>946</v>
      </c>
      <c r="D140" s="919"/>
      <c r="E140" s="919">
        <v>80000</v>
      </c>
      <c r="F140" s="919"/>
      <c r="G140" s="921"/>
    </row>
    <row r="141" spans="1:7" ht="12.75">
      <c r="A141" s="965" t="s">
        <v>769</v>
      </c>
      <c r="B141" s="909"/>
      <c r="C141" s="910" t="s">
        <v>770</v>
      </c>
      <c r="D141" s="912"/>
      <c r="E141" s="912">
        <f>SUM(E142:E144)</f>
        <v>5865000</v>
      </c>
      <c r="F141" s="912"/>
      <c r="G141" s="914">
        <f>E141+F141+D141</f>
        <v>5865000</v>
      </c>
    </row>
    <row r="142" spans="1:7" s="938" customFormat="1" ht="12.75">
      <c r="A142" s="966" t="s">
        <v>949</v>
      </c>
      <c r="B142" s="916" t="s">
        <v>1244</v>
      </c>
      <c r="C142" s="917" t="s">
        <v>885</v>
      </c>
      <c r="D142" s="919"/>
      <c r="E142" s="919">
        <v>4290000</v>
      </c>
      <c r="F142" s="919"/>
      <c r="G142" s="921"/>
    </row>
    <row r="143" spans="1:7" s="938" customFormat="1" ht="12.75">
      <c r="A143" s="966" t="s">
        <v>1325</v>
      </c>
      <c r="B143" s="916" t="s">
        <v>1244</v>
      </c>
      <c r="C143" s="917" t="s">
        <v>1300</v>
      </c>
      <c r="D143" s="919"/>
      <c r="E143" s="919">
        <v>1000</v>
      </c>
      <c r="F143" s="919"/>
      <c r="G143" s="921"/>
    </row>
    <row r="144" spans="1:7" s="938" customFormat="1" ht="12.75">
      <c r="A144" s="966" t="s">
        <v>1326</v>
      </c>
      <c r="B144" s="916" t="s">
        <v>1244</v>
      </c>
      <c r="C144" s="917" t="s">
        <v>1300</v>
      </c>
      <c r="D144" s="919"/>
      <c r="E144" s="919">
        <v>1574000</v>
      </c>
      <c r="F144" s="919"/>
      <c r="G144" s="921"/>
    </row>
    <row r="145" spans="1:7" ht="12.75">
      <c r="A145" s="965" t="s">
        <v>771</v>
      </c>
      <c r="B145" s="909"/>
      <c r="C145" s="910" t="s">
        <v>772</v>
      </c>
      <c r="D145" s="912"/>
      <c r="E145" s="912">
        <f>SUM(E146:E147)</f>
        <v>40000</v>
      </c>
      <c r="F145" s="912"/>
      <c r="G145" s="914">
        <f>E145+F145+D145</f>
        <v>40000</v>
      </c>
    </row>
    <row r="146" spans="1:7" s="938" customFormat="1" ht="12.75">
      <c r="A146" s="966" t="s">
        <v>951</v>
      </c>
      <c r="B146" s="916" t="s">
        <v>1243</v>
      </c>
      <c r="C146" s="917" t="s">
        <v>935</v>
      </c>
      <c r="D146" s="919"/>
      <c r="E146" s="919">
        <v>20000</v>
      </c>
      <c r="F146" s="919"/>
      <c r="G146" s="921"/>
    </row>
    <row r="147" spans="1:7" s="938" customFormat="1" ht="12.75">
      <c r="A147" s="966" t="s">
        <v>950</v>
      </c>
      <c r="B147" s="916" t="s">
        <v>1243</v>
      </c>
      <c r="C147" s="917" t="s">
        <v>946</v>
      </c>
      <c r="D147" s="919"/>
      <c r="E147" s="919">
        <v>20000</v>
      </c>
      <c r="F147" s="919"/>
      <c r="G147" s="921"/>
    </row>
    <row r="148" spans="1:7" ht="12.75">
      <c r="A148" s="965" t="s">
        <v>773</v>
      </c>
      <c r="B148" s="909"/>
      <c r="C148" s="910" t="s">
        <v>774</v>
      </c>
      <c r="D148" s="912">
        <v>620000</v>
      </c>
      <c r="E148" s="912"/>
      <c r="F148" s="912"/>
      <c r="G148" s="914">
        <f>D148+E148+F148</f>
        <v>620000</v>
      </c>
    </row>
    <row r="149" spans="1:7" s="938" customFormat="1" ht="12.75">
      <c r="A149" s="966" t="s">
        <v>952</v>
      </c>
      <c r="B149" s="916" t="s">
        <v>1243</v>
      </c>
      <c r="C149" s="917" t="s">
        <v>935</v>
      </c>
      <c r="D149" s="919">
        <v>5000</v>
      </c>
      <c r="E149" s="919"/>
      <c r="F149" s="919"/>
      <c r="G149" s="921"/>
    </row>
    <row r="150" spans="1:7" s="964" customFormat="1" ht="12.75">
      <c r="A150" s="966" t="s">
        <v>952</v>
      </c>
      <c r="B150" s="916" t="s">
        <v>1244</v>
      </c>
      <c r="C150" s="917" t="s">
        <v>935</v>
      </c>
      <c r="D150" s="919">
        <v>5000</v>
      </c>
      <c r="E150" s="917"/>
      <c r="F150" s="917"/>
      <c r="G150" s="963"/>
    </row>
    <row r="151" spans="1:7" s="964" customFormat="1" ht="12.75">
      <c r="A151" s="966" t="s">
        <v>953</v>
      </c>
      <c r="B151" s="916" t="s">
        <v>954</v>
      </c>
      <c r="C151" s="917" t="s">
        <v>935</v>
      </c>
      <c r="D151" s="919">
        <v>8000</v>
      </c>
      <c r="E151" s="917"/>
      <c r="F151" s="917"/>
      <c r="G151" s="963"/>
    </row>
    <row r="152" spans="1:7" s="964" customFormat="1" ht="12.75">
      <c r="A152" s="966" t="s">
        <v>952</v>
      </c>
      <c r="B152" s="916" t="s">
        <v>955</v>
      </c>
      <c r="C152" s="917" t="s">
        <v>935</v>
      </c>
      <c r="D152" s="919">
        <v>1000</v>
      </c>
      <c r="E152" s="917"/>
      <c r="F152" s="917"/>
      <c r="G152" s="963"/>
    </row>
    <row r="153" spans="1:7" s="964" customFormat="1" ht="12.75">
      <c r="A153" s="966" t="s">
        <v>952</v>
      </c>
      <c r="B153" s="916" t="s">
        <v>956</v>
      </c>
      <c r="C153" s="917" t="s">
        <v>935</v>
      </c>
      <c r="D153" s="919">
        <v>1000</v>
      </c>
      <c r="E153" s="917"/>
      <c r="F153" s="917"/>
      <c r="G153" s="963"/>
    </row>
    <row r="154" spans="1:7" s="964" customFormat="1" ht="12.75">
      <c r="A154" s="966" t="s">
        <v>957</v>
      </c>
      <c r="B154" s="916" t="s">
        <v>1243</v>
      </c>
      <c r="C154" s="917" t="s">
        <v>945</v>
      </c>
      <c r="D154" s="919">
        <v>1000</v>
      </c>
      <c r="E154" s="917"/>
      <c r="F154" s="917"/>
      <c r="G154" s="963"/>
    </row>
    <row r="155" spans="1:7" s="964" customFormat="1" ht="12.75">
      <c r="A155" s="966" t="s">
        <v>958</v>
      </c>
      <c r="B155" s="916" t="s">
        <v>1243</v>
      </c>
      <c r="C155" s="917" t="s">
        <v>946</v>
      </c>
      <c r="D155" s="919">
        <v>200000</v>
      </c>
      <c r="E155" s="917"/>
      <c r="F155" s="917"/>
      <c r="G155" s="963"/>
    </row>
    <row r="156" spans="1:7" s="964" customFormat="1" ht="12.75">
      <c r="A156" s="966" t="s">
        <v>958</v>
      </c>
      <c r="B156" s="916" t="s">
        <v>1244</v>
      </c>
      <c r="C156" s="917" t="s">
        <v>946</v>
      </c>
      <c r="D156" s="919">
        <v>200000</v>
      </c>
      <c r="E156" s="917"/>
      <c r="F156" s="917"/>
      <c r="G156" s="963"/>
    </row>
    <row r="157" spans="1:7" s="964" customFormat="1" ht="12.75">
      <c r="A157" s="966" t="s">
        <v>958</v>
      </c>
      <c r="B157" s="916" t="s">
        <v>954</v>
      </c>
      <c r="C157" s="917" t="s">
        <v>946</v>
      </c>
      <c r="D157" s="919">
        <v>199000</v>
      </c>
      <c r="E157" s="917"/>
      <c r="F157" s="917"/>
      <c r="G157" s="963"/>
    </row>
    <row r="158" spans="1:7" ht="12.75">
      <c r="A158" s="965" t="s">
        <v>775</v>
      </c>
      <c r="B158" s="909"/>
      <c r="C158" s="910" t="s">
        <v>776</v>
      </c>
      <c r="D158" s="912"/>
      <c r="E158" s="912">
        <v>830000</v>
      </c>
      <c r="F158" s="912"/>
      <c r="G158" s="914">
        <f>D158+E158+F158</f>
        <v>830000</v>
      </c>
    </row>
    <row r="159" spans="1:7" s="938" customFormat="1" ht="12.75">
      <c r="A159" s="966" t="s">
        <v>960</v>
      </c>
      <c r="B159" s="916" t="s">
        <v>725</v>
      </c>
      <c r="C159" s="917" t="s">
        <v>935</v>
      </c>
      <c r="D159" s="919"/>
      <c r="E159" s="919">
        <v>30000</v>
      </c>
      <c r="F159" s="919"/>
      <c r="G159" s="921"/>
    </row>
    <row r="160" spans="1:7" s="938" customFormat="1" ht="12.75">
      <c r="A160" s="966" t="s">
        <v>960</v>
      </c>
      <c r="B160" s="916" t="s">
        <v>1245</v>
      </c>
      <c r="C160" s="917" t="s">
        <v>935</v>
      </c>
      <c r="D160" s="919"/>
      <c r="E160" s="919">
        <v>250000</v>
      </c>
      <c r="F160" s="919"/>
      <c r="G160" s="921"/>
    </row>
    <row r="161" spans="1:7" s="938" customFormat="1" ht="12.75">
      <c r="A161" s="966" t="s">
        <v>960</v>
      </c>
      <c r="B161" s="916" t="s">
        <v>954</v>
      </c>
      <c r="C161" s="917" t="s">
        <v>935</v>
      </c>
      <c r="D161" s="919"/>
      <c r="E161" s="919">
        <v>550000</v>
      </c>
      <c r="F161" s="919"/>
      <c r="G161" s="921"/>
    </row>
    <row r="162" spans="1:7" ht="12.75">
      <c r="A162" s="965" t="s">
        <v>777</v>
      </c>
      <c r="B162" s="909"/>
      <c r="C162" s="910" t="s">
        <v>778</v>
      </c>
      <c r="D162" s="912"/>
      <c r="E162" s="912">
        <v>76000</v>
      </c>
      <c r="F162" s="912"/>
      <c r="G162" s="914">
        <f>D162+E162+F162</f>
        <v>76000</v>
      </c>
    </row>
    <row r="163" spans="1:7" s="938" customFormat="1" ht="12.75">
      <c r="A163" s="966" t="s">
        <v>961</v>
      </c>
      <c r="B163" s="916" t="s">
        <v>725</v>
      </c>
      <c r="C163" s="917" t="s">
        <v>962</v>
      </c>
      <c r="D163" s="919"/>
      <c r="E163" s="919">
        <v>50000</v>
      </c>
      <c r="F163" s="919"/>
      <c r="G163" s="921"/>
    </row>
    <row r="164" spans="1:7" s="938" customFormat="1" ht="12.75">
      <c r="A164" s="966" t="s">
        <v>963</v>
      </c>
      <c r="B164" s="916" t="s">
        <v>725</v>
      </c>
      <c r="C164" s="917" t="s">
        <v>935</v>
      </c>
      <c r="D164" s="919"/>
      <c r="E164" s="919">
        <v>16000</v>
      </c>
      <c r="F164" s="919"/>
      <c r="G164" s="921"/>
    </row>
    <row r="165" spans="1:7" s="938" customFormat="1" ht="12.75">
      <c r="A165" s="966" t="s">
        <v>964</v>
      </c>
      <c r="B165" s="916" t="s">
        <v>725</v>
      </c>
      <c r="C165" s="917" t="s">
        <v>946</v>
      </c>
      <c r="D165" s="919"/>
      <c r="E165" s="919">
        <v>10000</v>
      </c>
      <c r="F165" s="919"/>
      <c r="G165" s="921"/>
    </row>
    <row r="166" spans="1:7" ht="12.75">
      <c r="A166" s="965" t="s">
        <v>779</v>
      </c>
      <c r="B166" s="909"/>
      <c r="C166" s="910" t="s">
        <v>780</v>
      </c>
      <c r="D166" s="912">
        <v>77000</v>
      </c>
      <c r="E166" s="912">
        <f>SUM(E167:E169)</f>
        <v>20000</v>
      </c>
      <c r="F166" s="912"/>
      <c r="G166" s="914">
        <f>D166+E166+F166</f>
        <v>97000</v>
      </c>
    </row>
    <row r="167" spans="1:7" s="938" customFormat="1" ht="12.75">
      <c r="A167" s="966" t="s">
        <v>965</v>
      </c>
      <c r="B167" s="916" t="s">
        <v>725</v>
      </c>
      <c r="C167" s="917" t="s">
        <v>885</v>
      </c>
      <c r="D167" s="919"/>
      <c r="E167" s="919">
        <v>18000</v>
      </c>
      <c r="F167" s="919"/>
      <c r="G167" s="921"/>
    </row>
    <row r="168" spans="1:7" s="938" customFormat="1" ht="12.75">
      <c r="A168" s="966" t="s">
        <v>1327</v>
      </c>
      <c r="B168" s="916" t="s">
        <v>725</v>
      </c>
      <c r="C168" s="917" t="s">
        <v>1329</v>
      </c>
      <c r="D168" s="919"/>
      <c r="E168" s="919">
        <v>1000</v>
      </c>
      <c r="F168" s="919"/>
      <c r="G168" s="921"/>
    </row>
    <row r="169" spans="1:7" s="938" customFormat="1" ht="12.75">
      <c r="A169" s="966" t="s">
        <v>1328</v>
      </c>
      <c r="B169" s="916" t="s">
        <v>725</v>
      </c>
      <c r="C169" s="917" t="s">
        <v>1300</v>
      </c>
      <c r="D169" s="919"/>
      <c r="E169" s="919">
        <v>1000</v>
      </c>
      <c r="F169" s="919"/>
      <c r="G169" s="921"/>
    </row>
    <row r="170" spans="1:7" s="938" customFormat="1" ht="12.75">
      <c r="A170" s="966" t="s">
        <v>966</v>
      </c>
      <c r="B170" s="916" t="s">
        <v>725</v>
      </c>
      <c r="C170" s="917" t="s">
        <v>962</v>
      </c>
      <c r="D170" s="919">
        <v>51000</v>
      </c>
      <c r="E170" s="919"/>
      <c r="F170" s="919"/>
      <c r="G170" s="921"/>
    </row>
    <row r="171" spans="1:7" s="938" customFormat="1" ht="12.75">
      <c r="A171" s="966" t="s">
        <v>967</v>
      </c>
      <c r="B171" s="916" t="s">
        <v>725</v>
      </c>
      <c r="C171" s="917" t="s">
        <v>935</v>
      </c>
      <c r="D171" s="919">
        <v>10000</v>
      </c>
      <c r="E171" s="919"/>
      <c r="F171" s="919"/>
      <c r="G171" s="921"/>
    </row>
    <row r="172" spans="1:7" s="938" customFormat="1" ht="12.75">
      <c r="A172" s="966" t="s">
        <v>968</v>
      </c>
      <c r="B172" s="916" t="s">
        <v>725</v>
      </c>
      <c r="C172" s="917" t="s">
        <v>946</v>
      </c>
      <c r="D172" s="919">
        <v>15000</v>
      </c>
      <c r="E172" s="919"/>
      <c r="F172" s="919"/>
      <c r="G172" s="921"/>
    </row>
    <row r="173" spans="1:7" ht="13.5" thickBot="1">
      <c r="A173" s="976" t="s">
        <v>969</v>
      </c>
      <c r="B173" s="969" t="s">
        <v>725</v>
      </c>
      <c r="C173" s="970" t="s">
        <v>970</v>
      </c>
      <c r="D173" s="972">
        <v>1000</v>
      </c>
      <c r="E173" s="977"/>
      <c r="F173" s="978"/>
      <c r="G173" s="979"/>
    </row>
    <row r="174" spans="1:7" ht="13.5" thickBot="1">
      <c r="A174" s="922" t="s">
        <v>1360</v>
      </c>
      <c r="B174" s="923"/>
      <c r="C174" s="923"/>
      <c r="D174" s="923"/>
      <c r="E174" s="923"/>
      <c r="F174" s="924"/>
      <c r="G174" s="925">
        <f>SUM(G95:G172)</f>
        <v>15258703</v>
      </c>
    </row>
    <row r="176" ht="13.5" thickBot="1"/>
    <row r="177" spans="1:7" ht="13.5" thickBot="1">
      <c r="A177" s="899" t="s">
        <v>783</v>
      </c>
      <c r="B177" s="900"/>
      <c r="C177" s="900"/>
      <c r="D177" s="900"/>
      <c r="E177" s="900"/>
      <c r="F177" s="900"/>
      <c r="G177" s="901"/>
    </row>
    <row r="178" spans="1:7" ht="12.75">
      <c r="A178" s="903" t="s">
        <v>729</v>
      </c>
      <c r="B178" s="975" t="s">
        <v>1238</v>
      </c>
      <c r="C178" s="904" t="s">
        <v>730</v>
      </c>
      <c r="D178" s="905" t="s">
        <v>731</v>
      </c>
      <c r="E178" s="906" t="s">
        <v>585</v>
      </c>
      <c r="F178" s="905" t="s">
        <v>742</v>
      </c>
      <c r="G178" s="907" t="s">
        <v>732</v>
      </c>
    </row>
    <row r="179" spans="1:7" ht="12.75">
      <c r="A179" s="908" t="s">
        <v>784</v>
      </c>
      <c r="B179" s="909"/>
      <c r="C179" s="910" t="s">
        <v>734</v>
      </c>
      <c r="D179" s="912"/>
      <c r="E179" s="912">
        <f>E180</f>
        <v>40000</v>
      </c>
      <c r="F179" s="912"/>
      <c r="G179" s="914">
        <f>E179+F179+D179</f>
        <v>40000</v>
      </c>
    </row>
    <row r="180" spans="1:7" s="938" customFormat="1" ht="12.75">
      <c r="A180" s="915" t="s">
        <v>971</v>
      </c>
      <c r="B180" s="916" t="s">
        <v>725</v>
      </c>
      <c r="C180" s="917" t="s">
        <v>882</v>
      </c>
      <c r="D180" s="919"/>
      <c r="E180" s="919">
        <v>40000</v>
      </c>
      <c r="F180" s="919"/>
      <c r="G180" s="921"/>
    </row>
    <row r="181" spans="1:7" ht="12.75">
      <c r="A181" s="908" t="s">
        <v>785</v>
      </c>
      <c r="B181" s="909"/>
      <c r="C181" s="910" t="s">
        <v>786</v>
      </c>
      <c r="D181" s="912"/>
      <c r="E181" s="912">
        <f>SUM(E182:E188)</f>
        <v>622120</v>
      </c>
      <c r="F181" s="912"/>
      <c r="G181" s="914">
        <f>E181+F181+D181</f>
        <v>622120</v>
      </c>
    </row>
    <row r="182" spans="1:7" s="938" customFormat="1" ht="12.75">
      <c r="A182" s="915" t="s">
        <v>972</v>
      </c>
      <c r="B182" s="916" t="s">
        <v>725</v>
      </c>
      <c r="C182" s="917" t="s">
        <v>885</v>
      </c>
      <c r="D182" s="919"/>
      <c r="E182" s="919">
        <v>330000</v>
      </c>
      <c r="F182" s="919"/>
      <c r="G182" s="921"/>
    </row>
    <row r="183" spans="1:7" s="938" customFormat="1" ht="12.75">
      <c r="A183" s="915" t="s">
        <v>1330</v>
      </c>
      <c r="B183" s="916" t="s">
        <v>725</v>
      </c>
      <c r="C183" s="917" t="s">
        <v>1300</v>
      </c>
      <c r="D183" s="919"/>
      <c r="E183" s="919">
        <v>170000</v>
      </c>
      <c r="F183" s="919"/>
      <c r="G183" s="921"/>
    </row>
    <row r="184" spans="1:7" s="938" customFormat="1" ht="12.75">
      <c r="A184" s="915" t="s">
        <v>1331</v>
      </c>
      <c r="B184" s="916" t="s">
        <v>725</v>
      </c>
      <c r="C184" s="917" t="s">
        <v>1300</v>
      </c>
      <c r="D184" s="919"/>
      <c r="E184" s="919">
        <v>40000</v>
      </c>
      <c r="F184" s="919"/>
      <c r="G184" s="921"/>
    </row>
    <row r="185" spans="1:7" s="938" customFormat="1" ht="12.75">
      <c r="A185" s="915" t="s">
        <v>973</v>
      </c>
      <c r="B185" s="916" t="s">
        <v>725</v>
      </c>
      <c r="C185" s="917" t="s">
        <v>886</v>
      </c>
      <c r="D185" s="919"/>
      <c r="E185" s="919">
        <v>1000</v>
      </c>
      <c r="F185" s="919"/>
      <c r="G185" s="921"/>
    </row>
    <row r="186" spans="1:7" s="938" customFormat="1" ht="12.75">
      <c r="A186" s="915" t="s">
        <v>974</v>
      </c>
      <c r="B186" s="916" t="s">
        <v>725</v>
      </c>
      <c r="C186" s="917" t="s">
        <v>887</v>
      </c>
      <c r="D186" s="919"/>
      <c r="E186" s="919">
        <v>45000</v>
      </c>
      <c r="F186" s="919"/>
      <c r="G186" s="921"/>
    </row>
    <row r="187" spans="1:7" s="938" customFormat="1" ht="12.75">
      <c r="A187" s="915" t="s">
        <v>975</v>
      </c>
      <c r="B187" s="916" t="s">
        <v>725</v>
      </c>
      <c r="C187" s="917" t="s">
        <v>976</v>
      </c>
      <c r="D187" s="919"/>
      <c r="E187" s="919">
        <v>1120</v>
      </c>
      <c r="F187" s="919"/>
      <c r="G187" s="921"/>
    </row>
    <row r="188" spans="1:7" s="938" customFormat="1" ht="12.75">
      <c r="A188" s="915" t="s">
        <v>977</v>
      </c>
      <c r="B188" s="916" t="s">
        <v>725</v>
      </c>
      <c r="C188" s="917" t="s">
        <v>978</v>
      </c>
      <c r="D188" s="919"/>
      <c r="E188" s="919">
        <v>35000</v>
      </c>
      <c r="F188" s="919"/>
      <c r="G188" s="921"/>
    </row>
    <row r="189" spans="1:7" ht="12.75">
      <c r="A189" s="965" t="s">
        <v>787</v>
      </c>
      <c r="B189" s="909"/>
      <c r="C189" s="910" t="s">
        <v>788</v>
      </c>
      <c r="D189" s="912"/>
      <c r="E189" s="912">
        <f>SUM(E190:E195)</f>
        <v>589500</v>
      </c>
      <c r="F189" s="912"/>
      <c r="G189" s="914">
        <f>E189+F189+D189</f>
        <v>589500</v>
      </c>
    </row>
    <row r="190" spans="1:7" s="938" customFormat="1" ht="12.75">
      <c r="A190" s="966" t="s">
        <v>979</v>
      </c>
      <c r="B190" s="916" t="s">
        <v>725</v>
      </c>
      <c r="C190" s="917" t="s">
        <v>885</v>
      </c>
      <c r="D190" s="919"/>
      <c r="E190" s="919">
        <v>200000</v>
      </c>
      <c r="F190" s="919"/>
      <c r="G190" s="921"/>
    </row>
    <row r="191" spans="1:7" s="938" customFormat="1" ht="12.75">
      <c r="A191" s="966" t="s">
        <v>1332</v>
      </c>
      <c r="B191" s="916" t="s">
        <v>725</v>
      </c>
      <c r="C191" s="917" t="s">
        <v>1300</v>
      </c>
      <c r="D191" s="919"/>
      <c r="E191" s="919">
        <v>17000</v>
      </c>
      <c r="F191" s="919"/>
      <c r="G191" s="921"/>
    </row>
    <row r="192" spans="1:7" s="938" customFormat="1" ht="12.75">
      <c r="A192" s="966" t="s">
        <v>1333</v>
      </c>
      <c r="B192" s="916" t="s">
        <v>725</v>
      </c>
      <c r="C192" s="917" t="s">
        <v>1300</v>
      </c>
      <c r="D192" s="919"/>
      <c r="E192" s="919">
        <v>115000</v>
      </c>
      <c r="F192" s="919"/>
      <c r="G192" s="921"/>
    </row>
    <row r="193" spans="1:7" s="938" customFormat="1" ht="12.75">
      <c r="A193" s="966" t="s">
        <v>980</v>
      </c>
      <c r="B193" s="916" t="s">
        <v>725</v>
      </c>
      <c r="C193" s="917" t="s">
        <v>887</v>
      </c>
      <c r="D193" s="919"/>
      <c r="E193" s="919">
        <v>207000</v>
      </c>
      <c r="F193" s="919"/>
      <c r="G193" s="921"/>
    </row>
    <row r="194" spans="1:7" s="938" customFormat="1" ht="12.75">
      <c r="A194" s="966" t="s">
        <v>981</v>
      </c>
      <c r="B194" s="916" t="s">
        <v>725</v>
      </c>
      <c r="C194" s="917" t="s">
        <v>976</v>
      </c>
      <c r="D194" s="919"/>
      <c r="E194" s="919">
        <v>500</v>
      </c>
      <c r="F194" s="919"/>
      <c r="G194" s="921"/>
    </row>
    <row r="195" spans="1:7" s="938" customFormat="1" ht="12.75">
      <c r="A195" s="966" t="s">
        <v>982</v>
      </c>
      <c r="B195" s="916" t="s">
        <v>725</v>
      </c>
      <c r="C195" s="917" t="s">
        <v>978</v>
      </c>
      <c r="D195" s="919"/>
      <c r="E195" s="919">
        <v>50000</v>
      </c>
      <c r="F195" s="919"/>
      <c r="G195" s="921"/>
    </row>
    <row r="196" spans="1:7" ht="12.75">
      <c r="A196" s="965" t="s">
        <v>789</v>
      </c>
      <c r="B196" s="909"/>
      <c r="C196" s="910" t="s">
        <v>790</v>
      </c>
      <c r="D196" s="912">
        <v>150000</v>
      </c>
      <c r="E196" s="912">
        <v>335000</v>
      </c>
      <c r="F196" s="912"/>
      <c r="G196" s="914">
        <f>E196+F196+D196</f>
        <v>485000</v>
      </c>
    </row>
    <row r="197" spans="1:7" s="938" customFormat="1" ht="12.75">
      <c r="A197" s="966" t="s">
        <v>983</v>
      </c>
      <c r="B197" s="916" t="s">
        <v>725</v>
      </c>
      <c r="C197" s="917" t="s">
        <v>930</v>
      </c>
      <c r="D197" s="919">
        <v>150000</v>
      </c>
      <c r="E197" s="919">
        <v>335000</v>
      </c>
      <c r="F197" s="919"/>
      <c r="G197" s="921"/>
    </row>
    <row r="198" spans="1:7" ht="12.75">
      <c r="A198" s="965" t="s">
        <v>791</v>
      </c>
      <c r="B198" s="909"/>
      <c r="C198" s="910" t="s">
        <v>734</v>
      </c>
      <c r="D198" s="912"/>
      <c r="E198" s="912">
        <v>7000</v>
      </c>
      <c r="F198" s="912"/>
      <c r="G198" s="914">
        <f>E198+F198+D198</f>
        <v>7000</v>
      </c>
    </row>
    <row r="199" spans="1:7" s="938" customFormat="1" ht="12.75">
      <c r="A199" s="966" t="s">
        <v>984</v>
      </c>
      <c r="B199" s="916" t="s">
        <v>725</v>
      </c>
      <c r="C199" s="917" t="s">
        <v>882</v>
      </c>
      <c r="D199" s="919"/>
      <c r="E199" s="919">
        <v>7000</v>
      </c>
      <c r="F199" s="919"/>
      <c r="G199" s="921"/>
    </row>
    <row r="200" spans="1:7" ht="12.75">
      <c r="A200" s="965" t="s">
        <v>792</v>
      </c>
      <c r="B200" s="909"/>
      <c r="C200" s="910" t="s">
        <v>793</v>
      </c>
      <c r="D200" s="912">
        <v>200000</v>
      </c>
      <c r="E200" s="912">
        <f>SUM(E201:E206)</f>
        <v>1060500</v>
      </c>
      <c r="F200" s="912"/>
      <c r="G200" s="914">
        <f>E200+F200+D200</f>
        <v>1260500</v>
      </c>
    </row>
    <row r="201" spans="1:7" s="938" customFormat="1" ht="12.75">
      <c r="A201" s="966" t="s">
        <v>985</v>
      </c>
      <c r="B201" s="916" t="s">
        <v>725</v>
      </c>
      <c r="C201" s="917" t="s">
        <v>885</v>
      </c>
      <c r="D201" s="919"/>
      <c r="E201" s="919">
        <v>705000</v>
      </c>
      <c r="F201" s="919"/>
      <c r="G201" s="921"/>
    </row>
    <row r="202" spans="1:7" s="938" customFormat="1" ht="12.75">
      <c r="A202" s="966" t="s">
        <v>1334</v>
      </c>
      <c r="B202" s="916" t="s">
        <v>725</v>
      </c>
      <c r="C202" s="917" t="s">
        <v>1300</v>
      </c>
      <c r="D202" s="919"/>
      <c r="E202" s="919">
        <v>1000</v>
      </c>
      <c r="F202" s="919"/>
      <c r="G202" s="921"/>
    </row>
    <row r="203" spans="1:7" s="938" customFormat="1" ht="12.75">
      <c r="A203" s="966" t="s">
        <v>1335</v>
      </c>
      <c r="B203" s="916" t="s">
        <v>725</v>
      </c>
      <c r="C203" s="917" t="s">
        <v>1300</v>
      </c>
      <c r="D203" s="919"/>
      <c r="E203" s="919">
        <v>3500</v>
      </c>
      <c r="F203" s="919"/>
      <c r="G203" s="921"/>
    </row>
    <row r="204" spans="1:7" s="938" customFormat="1" ht="12.75">
      <c r="A204" s="966" t="s">
        <v>986</v>
      </c>
      <c r="B204" s="916" t="s">
        <v>725</v>
      </c>
      <c r="C204" s="917" t="s">
        <v>887</v>
      </c>
      <c r="D204" s="919">
        <v>150000</v>
      </c>
      <c r="E204" s="919">
        <v>250000</v>
      </c>
      <c r="F204" s="919"/>
      <c r="G204" s="921"/>
    </row>
    <row r="205" spans="1:7" s="938" customFormat="1" ht="12.75">
      <c r="A205" s="966" t="s">
        <v>987</v>
      </c>
      <c r="B205" s="916" t="s">
        <v>725</v>
      </c>
      <c r="C205" s="917" t="s">
        <v>976</v>
      </c>
      <c r="D205" s="919">
        <v>10000</v>
      </c>
      <c r="E205" s="919">
        <v>1000</v>
      </c>
      <c r="F205" s="919"/>
      <c r="G205" s="921"/>
    </row>
    <row r="206" spans="1:7" s="938" customFormat="1" ht="12.75">
      <c r="A206" s="966" t="s">
        <v>988</v>
      </c>
      <c r="B206" s="916" t="s">
        <v>725</v>
      </c>
      <c r="C206" s="917" t="s">
        <v>978</v>
      </c>
      <c r="D206" s="919">
        <v>40000</v>
      </c>
      <c r="E206" s="919">
        <v>100000</v>
      </c>
      <c r="F206" s="919"/>
      <c r="G206" s="921"/>
    </row>
    <row r="207" spans="1:7" ht="12.75">
      <c r="A207" s="965" t="s">
        <v>794</v>
      </c>
      <c r="B207" s="909"/>
      <c r="C207" s="910" t="s">
        <v>795</v>
      </c>
      <c r="D207" s="912"/>
      <c r="E207" s="912">
        <v>1800000</v>
      </c>
      <c r="F207" s="912"/>
      <c r="G207" s="914">
        <f>E207+F207+D207</f>
        <v>1800000</v>
      </c>
    </row>
    <row r="208" spans="1:7" s="938" customFormat="1" ht="12.75">
      <c r="A208" s="966" t="s">
        <v>989</v>
      </c>
      <c r="B208" s="916" t="s">
        <v>725</v>
      </c>
      <c r="C208" s="917" t="s">
        <v>978</v>
      </c>
      <c r="D208" s="919"/>
      <c r="E208" s="919">
        <v>1800000</v>
      </c>
      <c r="F208" s="919"/>
      <c r="G208" s="921"/>
    </row>
    <row r="209" spans="1:7" ht="12.75">
      <c r="A209" s="965" t="s">
        <v>796</v>
      </c>
      <c r="B209" s="909"/>
      <c r="C209" s="910" t="s">
        <v>797</v>
      </c>
      <c r="D209" s="912"/>
      <c r="E209" s="912">
        <v>1220000</v>
      </c>
      <c r="F209" s="912"/>
      <c r="G209" s="914">
        <f>E209+F209+D209</f>
        <v>1220000</v>
      </c>
    </row>
    <row r="210" spans="1:7" s="938" customFormat="1" ht="12.75">
      <c r="A210" s="966" t="s">
        <v>990</v>
      </c>
      <c r="B210" s="916" t="s">
        <v>725</v>
      </c>
      <c r="C210" s="917" t="s">
        <v>887</v>
      </c>
      <c r="D210" s="919"/>
      <c r="E210" s="919">
        <v>150000</v>
      </c>
      <c r="F210" s="919"/>
      <c r="G210" s="921"/>
    </row>
    <row r="211" spans="1:7" s="938" customFormat="1" ht="12.75">
      <c r="A211" s="966" t="s">
        <v>991</v>
      </c>
      <c r="B211" s="916" t="s">
        <v>725</v>
      </c>
      <c r="C211" s="917" t="s">
        <v>978</v>
      </c>
      <c r="D211" s="919"/>
      <c r="E211" s="919">
        <v>1070000</v>
      </c>
      <c r="F211" s="919"/>
      <c r="G211" s="921"/>
    </row>
    <row r="212" spans="1:7" ht="12.75">
      <c r="A212" s="965" t="s">
        <v>798</v>
      </c>
      <c r="B212" s="909"/>
      <c r="C212" s="910" t="s">
        <v>799</v>
      </c>
      <c r="D212" s="912"/>
      <c r="E212" s="912">
        <v>20000</v>
      </c>
      <c r="F212" s="912"/>
      <c r="G212" s="914">
        <f>E212+F212+D212</f>
        <v>20000</v>
      </c>
    </row>
    <row r="213" spans="1:7" s="938" customFormat="1" ht="13.5" thickBot="1">
      <c r="A213" s="966" t="s">
        <v>992</v>
      </c>
      <c r="B213" s="916" t="s">
        <v>725</v>
      </c>
      <c r="C213" s="917" t="s">
        <v>887</v>
      </c>
      <c r="D213" s="919"/>
      <c r="E213" s="919">
        <v>20000</v>
      </c>
      <c r="F213" s="919"/>
      <c r="G213" s="921"/>
    </row>
    <row r="214" spans="1:7" ht="13.5" thickBot="1">
      <c r="A214" s="922" t="s">
        <v>1264</v>
      </c>
      <c r="B214" s="923"/>
      <c r="C214" s="923"/>
      <c r="D214" s="923"/>
      <c r="E214" s="923"/>
      <c r="F214" s="924"/>
      <c r="G214" s="925">
        <f>SUM(G179:G212)</f>
        <v>6044120</v>
      </c>
    </row>
    <row r="216" ht="13.5" thickBot="1"/>
    <row r="217" spans="1:7" ht="13.5" thickBot="1">
      <c r="A217" s="899" t="s">
        <v>800</v>
      </c>
      <c r="B217" s="900"/>
      <c r="C217" s="900"/>
      <c r="D217" s="900"/>
      <c r="E217" s="900"/>
      <c r="F217" s="900"/>
      <c r="G217" s="901"/>
    </row>
    <row r="218" spans="1:7" ht="12.75">
      <c r="A218" s="903" t="s">
        <v>729</v>
      </c>
      <c r="B218" s="975" t="s">
        <v>1238</v>
      </c>
      <c r="C218" s="904" t="s">
        <v>730</v>
      </c>
      <c r="D218" s="905" t="s">
        <v>731</v>
      </c>
      <c r="E218" s="906" t="s">
        <v>585</v>
      </c>
      <c r="F218" s="905" t="s">
        <v>742</v>
      </c>
      <c r="G218" s="907" t="s">
        <v>732</v>
      </c>
    </row>
    <row r="219" spans="1:7" ht="12.75">
      <c r="A219" s="908" t="s">
        <v>801</v>
      </c>
      <c r="B219" s="909"/>
      <c r="C219" s="910" t="s">
        <v>747</v>
      </c>
      <c r="D219" s="912"/>
      <c r="E219" s="912">
        <f>E220</f>
        <v>15000</v>
      </c>
      <c r="F219" s="912"/>
      <c r="G219" s="914">
        <f>E219+F219+D219</f>
        <v>15000</v>
      </c>
    </row>
    <row r="220" spans="1:7" s="938" customFormat="1" ht="12.75">
      <c r="A220" s="915" t="s">
        <v>994</v>
      </c>
      <c r="B220" s="916" t="s">
        <v>1246</v>
      </c>
      <c r="C220" s="917" t="s">
        <v>930</v>
      </c>
      <c r="D220" s="919"/>
      <c r="E220" s="919">
        <v>15000</v>
      </c>
      <c r="F220" s="919"/>
      <c r="G220" s="921"/>
    </row>
    <row r="221" spans="1:7" ht="12.75">
      <c r="A221" s="908" t="s">
        <v>802</v>
      </c>
      <c r="B221" s="909"/>
      <c r="C221" s="910" t="s">
        <v>803</v>
      </c>
      <c r="D221" s="912"/>
      <c r="E221" s="912">
        <f>SUM(E222:E223)</f>
        <v>25000</v>
      </c>
      <c r="F221" s="912"/>
      <c r="G221" s="914">
        <f>E221+F221+D221</f>
        <v>25000</v>
      </c>
    </row>
    <row r="222" spans="1:7" s="938" customFormat="1" ht="12.75">
      <c r="A222" s="915" t="s">
        <v>995</v>
      </c>
      <c r="B222" s="916" t="s">
        <v>1246</v>
      </c>
      <c r="C222" s="917" t="s">
        <v>913</v>
      </c>
      <c r="D222" s="919"/>
      <c r="E222" s="919">
        <v>20000</v>
      </c>
      <c r="F222" s="919"/>
      <c r="G222" s="921"/>
    </row>
    <row r="223" spans="1:7" s="938" customFormat="1" ht="12.75">
      <c r="A223" s="915" t="s">
        <v>995</v>
      </c>
      <c r="B223" s="916" t="s">
        <v>1247</v>
      </c>
      <c r="C223" s="917" t="s">
        <v>913</v>
      </c>
      <c r="D223" s="919"/>
      <c r="E223" s="919">
        <v>5000</v>
      </c>
      <c r="F223" s="919"/>
      <c r="G223" s="921"/>
    </row>
    <row r="224" spans="1:7" ht="12.75">
      <c r="A224" s="965" t="s">
        <v>804</v>
      </c>
      <c r="B224" s="909"/>
      <c r="C224" s="910" t="s">
        <v>737</v>
      </c>
      <c r="D224" s="912"/>
      <c r="E224" s="912">
        <v>20000</v>
      </c>
      <c r="F224" s="912"/>
      <c r="G224" s="914">
        <f>E224+F224+D224</f>
        <v>20000</v>
      </c>
    </row>
    <row r="225" spans="1:7" s="938" customFormat="1" ht="12.75">
      <c r="A225" s="966" t="s">
        <v>996</v>
      </c>
      <c r="B225" s="916" t="s">
        <v>1246</v>
      </c>
      <c r="C225" s="917" t="s">
        <v>886</v>
      </c>
      <c r="D225" s="919"/>
      <c r="E225" s="919">
        <v>2000</v>
      </c>
      <c r="F225" s="919"/>
      <c r="G225" s="921"/>
    </row>
    <row r="226" spans="1:7" s="938" customFormat="1" ht="12.75">
      <c r="A226" s="966" t="s">
        <v>997</v>
      </c>
      <c r="B226" s="916" t="s">
        <v>1246</v>
      </c>
      <c r="C226" s="917" t="s">
        <v>887</v>
      </c>
      <c r="D226" s="919"/>
      <c r="E226" s="919">
        <v>10000</v>
      </c>
      <c r="F226" s="919"/>
      <c r="G226" s="921"/>
    </row>
    <row r="227" spans="1:7" s="938" customFormat="1" ht="12.75">
      <c r="A227" s="966" t="s">
        <v>998</v>
      </c>
      <c r="B227" s="916" t="s">
        <v>1246</v>
      </c>
      <c r="C227" s="917" t="s">
        <v>999</v>
      </c>
      <c r="D227" s="919"/>
      <c r="E227" s="919">
        <v>4000</v>
      </c>
      <c r="F227" s="919"/>
      <c r="G227" s="921"/>
    </row>
    <row r="228" spans="1:7" s="938" customFormat="1" ht="12.75">
      <c r="A228" s="966" t="s">
        <v>1000</v>
      </c>
      <c r="B228" s="916" t="s">
        <v>1246</v>
      </c>
      <c r="C228" s="917" t="s">
        <v>913</v>
      </c>
      <c r="D228" s="919"/>
      <c r="E228" s="919">
        <v>4000</v>
      </c>
      <c r="F228" s="919"/>
      <c r="G228" s="921"/>
    </row>
    <row r="229" spans="1:7" ht="12.75">
      <c r="A229" s="965" t="s">
        <v>805</v>
      </c>
      <c r="B229" s="909"/>
      <c r="C229" s="910" t="s">
        <v>755</v>
      </c>
      <c r="D229" s="912"/>
      <c r="E229" s="912">
        <f>SUM(E230:E235)</f>
        <v>861344.8</v>
      </c>
      <c r="F229" s="912"/>
      <c r="G229" s="914">
        <f>E229+F229+D229</f>
        <v>861344.8</v>
      </c>
    </row>
    <row r="230" spans="1:7" s="938" customFormat="1" ht="12.75">
      <c r="A230" s="966" t="s">
        <v>1001</v>
      </c>
      <c r="B230" s="916" t="s">
        <v>1246</v>
      </c>
      <c r="C230" s="917" t="s">
        <v>885</v>
      </c>
      <c r="D230" s="919"/>
      <c r="E230" s="919">
        <v>663844.8</v>
      </c>
      <c r="F230" s="919"/>
      <c r="G230" s="921"/>
    </row>
    <row r="231" spans="1:7" s="938" customFormat="1" ht="12.75">
      <c r="A231" s="966" t="s">
        <v>1336</v>
      </c>
      <c r="B231" s="916" t="s">
        <v>1338</v>
      </c>
      <c r="C231" s="917" t="s">
        <v>1300</v>
      </c>
      <c r="D231" s="919"/>
      <c r="E231" s="919">
        <v>1000</v>
      </c>
      <c r="F231" s="919"/>
      <c r="G231" s="921"/>
    </row>
    <row r="232" spans="1:7" s="938" customFormat="1" ht="12.75">
      <c r="A232" s="966" t="s">
        <v>1337</v>
      </c>
      <c r="B232" s="916" t="s">
        <v>1246</v>
      </c>
      <c r="C232" s="917" t="s">
        <v>1300</v>
      </c>
      <c r="D232" s="919"/>
      <c r="E232" s="919">
        <v>1000</v>
      </c>
      <c r="F232" s="919"/>
      <c r="G232" s="921"/>
    </row>
    <row r="233" spans="1:7" s="938" customFormat="1" ht="12.75">
      <c r="A233" s="966" t="s">
        <v>1002</v>
      </c>
      <c r="B233" s="916" t="s">
        <v>1246</v>
      </c>
      <c r="C233" s="917" t="s">
        <v>887</v>
      </c>
      <c r="D233" s="919"/>
      <c r="E233" s="919">
        <v>65000</v>
      </c>
      <c r="F233" s="919"/>
      <c r="G233" s="921"/>
    </row>
    <row r="234" spans="1:7" s="938" customFormat="1" ht="12.75">
      <c r="A234" s="966" t="s">
        <v>1003</v>
      </c>
      <c r="B234" s="916" t="s">
        <v>1246</v>
      </c>
      <c r="C234" s="917" t="s">
        <v>1004</v>
      </c>
      <c r="D234" s="919"/>
      <c r="E234" s="919">
        <v>500</v>
      </c>
      <c r="F234" s="919"/>
      <c r="G234" s="921"/>
    </row>
    <row r="235" spans="1:8" s="938" customFormat="1" ht="12.75">
      <c r="A235" s="966" t="s">
        <v>1005</v>
      </c>
      <c r="B235" s="916" t="s">
        <v>1246</v>
      </c>
      <c r="C235" s="917" t="s">
        <v>999</v>
      </c>
      <c r="D235" s="919"/>
      <c r="E235" s="919">
        <v>130000</v>
      </c>
      <c r="F235" s="919"/>
      <c r="G235" s="921"/>
      <c r="H235" s="939"/>
    </row>
    <row r="236" spans="1:7" ht="12.75">
      <c r="A236" s="965" t="s">
        <v>806</v>
      </c>
      <c r="B236" s="909"/>
      <c r="C236" s="910" t="s">
        <v>807</v>
      </c>
      <c r="D236" s="912"/>
      <c r="E236" s="912">
        <f>SUM(E237:E254)</f>
        <v>2911000</v>
      </c>
      <c r="F236" s="912"/>
      <c r="G236" s="914">
        <f>E236+F236+D236</f>
        <v>2911000</v>
      </c>
    </row>
    <row r="237" spans="1:7" s="938" customFormat="1" ht="12.75">
      <c r="A237" s="966" t="s">
        <v>1006</v>
      </c>
      <c r="B237" s="916" t="s">
        <v>1246</v>
      </c>
      <c r="C237" s="917" t="s">
        <v>885</v>
      </c>
      <c r="D237" s="919"/>
      <c r="E237" s="919">
        <v>1200000</v>
      </c>
      <c r="F237" s="919"/>
      <c r="G237" s="921"/>
    </row>
    <row r="238" spans="1:7" s="938" customFormat="1" ht="12.75">
      <c r="A238" s="966" t="s">
        <v>1339</v>
      </c>
      <c r="B238" s="916"/>
      <c r="C238" s="917" t="s">
        <v>1300</v>
      </c>
      <c r="D238" s="919"/>
      <c r="E238" s="919">
        <v>80000</v>
      </c>
      <c r="F238" s="919"/>
      <c r="G238" s="921"/>
    </row>
    <row r="239" spans="1:7" s="938" customFormat="1" ht="12.75">
      <c r="A239" s="966" t="s">
        <v>1340</v>
      </c>
      <c r="B239" s="916"/>
      <c r="C239" s="917" t="s">
        <v>1300</v>
      </c>
      <c r="D239" s="919"/>
      <c r="E239" s="919">
        <v>700000</v>
      </c>
      <c r="F239" s="919"/>
      <c r="G239" s="921"/>
    </row>
    <row r="240" spans="1:7" s="938" customFormat="1" ht="12.75">
      <c r="A240" s="966" t="s">
        <v>1006</v>
      </c>
      <c r="B240" s="916" t="s">
        <v>1248</v>
      </c>
      <c r="C240" s="917" t="s">
        <v>885</v>
      </c>
      <c r="D240" s="919"/>
      <c r="E240" s="919">
        <v>115000</v>
      </c>
      <c r="F240" s="919"/>
      <c r="G240" s="921"/>
    </row>
    <row r="241" spans="1:7" s="938" customFormat="1" ht="12.75">
      <c r="A241" s="966" t="s">
        <v>1006</v>
      </c>
      <c r="B241" s="916" t="s">
        <v>1249</v>
      </c>
      <c r="C241" s="917" t="s">
        <v>885</v>
      </c>
      <c r="D241" s="919"/>
      <c r="E241" s="919">
        <v>150000</v>
      </c>
      <c r="F241" s="919"/>
      <c r="G241" s="921"/>
    </row>
    <row r="242" spans="1:7" s="938" customFormat="1" ht="12.75">
      <c r="A242" s="966" t="s">
        <v>1006</v>
      </c>
      <c r="B242" s="916" t="s">
        <v>1250</v>
      </c>
      <c r="C242" s="917" t="s">
        <v>885</v>
      </c>
      <c r="D242" s="919"/>
      <c r="E242" s="919">
        <v>150000</v>
      </c>
      <c r="F242" s="919"/>
      <c r="G242" s="921"/>
    </row>
    <row r="243" spans="1:7" s="938" customFormat="1" ht="12.75">
      <c r="A243" s="966" t="s">
        <v>1006</v>
      </c>
      <c r="B243" s="916" t="s">
        <v>1251</v>
      </c>
      <c r="C243" s="917" t="s">
        <v>885</v>
      </c>
      <c r="D243" s="919"/>
      <c r="E243" s="919">
        <v>30000</v>
      </c>
      <c r="F243" s="919"/>
      <c r="G243" s="921"/>
    </row>
    <row r="244" spans="1:7" s="938" customFormat="1" ht="12.75">
      <c r="A244" s="966" t="s">
        <v>1007</v>
      </c>
      <c r="B244" s="916" t="s">
        <v>1246</v>
      </c>
      <c r="C244" s="917" t="s">
        <v>887</v>
      </c>
      <c r="D244" s="919"/>
      <c r="E244" s="919">
        <v>270000</v>
      </c>
      <c r="F244" s="919"/>
      <c r="G244" s="921"/>
    </row>
    <row r="245" spans="1:7" s="938" customFormat="1" ht="12.75">
      <c r="A245" s="966" t="s">
        <v>1007</v>
      </c>
      <c r="B245" s="916" t="s">
        <v>1252</v>
      </c>
      <c r="C245" s="917" t="s">
        <v>887</v>
      </c>
      <c r="D245" s="919"/>
      <c r="E245" s="919">
        <v>25000</v>
      </c>
      <c r="F245" s="919"/>
      <c r="G245" s="921"/>
    </row>
    <row r="246" spans="1:7" s="938" customFormat="1" ht="12.75">
      <c r="A246" s="966" t="s">
        <v>1007</v>
      </c>
      <c r="B246" s="916" t="s">
        <v>1253</v>
      </c>
      <c r="C246" s="917" t="s">
        <v>887</v>
      </c>
      <c r="D246" s="919"/>
      <c r="E246" s="919">
        <v>10000</v>
      </c>
      <c r="F246" s="919"/>
      <c r="G246" s="921"/>
    </row>
    <row r="247" spans="1:7" s="938" customFormat="1" ht="12.75">
      <c r="A247" s="966" t="s">
        <v>1007</v>
      </c>
      <c r="B247" s="916" t="s">
        <v>1247</v>
      </c>
      <c r="C247" s="917" t="s">
        <v>887</v>
      </c>
      <c r="D247" s="919"/>
      <c r="E247" s="919">
        <v>10000</v>
      </c>
      <c r="F247" s="919"/>
      <c r="G247" s="921"/>
    </row>
    <row r="248" spans="1:7" s="938" customFormat="1" ht="12.75">
      <c r="A248" s="966" t="s">
        <v>1007</v>
      </c>
      <c r="B248" s="916" t="s">
        <v>1251</v>
      </c>
      <c r="C248" s="917" t="s">
        <v>887</v>
      </c>
      <c r="D248" s="919"/>
      <c r="E248" s="919">
        <v>3000</v>
      </c>
      <c r="F248" s="919"/>
      <c r="G248" s="921"/>
    </row>
    <row r="249" spans="1:7" s="938" customFormat="1" ht="12.75">
      <c r="A249" s="966" t="s">
        <v>1008</v>
      </c>
      <c r="B249" s="916" t="s">
        <v>1246</v>
      </c>
      <c r="C249" s="917" t="s">
        <v>1004</v>
      </c>
      <c r="D249" s="919"/>
      <c r="E249" s="919">
        <v>1000</v>
      </c>
      <c r="F249" s="919"/>
      <c r="G249" s="921"/>
    </row>
    <row r="250" spans="1:7" s="938" customFormat="1" ht="12.75">
      <c r="A250" s="966" t="s">
        <v>1009</v>
      </c>
      <c r="B250" s="916" t="s">
        <v>1246</v>
      </c>
      <c r="C250" s="917" t="s">
        <v>999</v>
      </c>
      <c r="D250" s="919"/>
      <c r="E250" s="919">
        <v>150000</v>
      </c>
      <c r="F250" s="919"/>
      <c r="G250" s="921"/>
    </row>
    <row r="251" spans="1:7" s="938" customFormat="1" ht="12.75">
      <c r="A251" s="966" t="s">
        <v>1009</v>
      </c>
      <c r="B251" s="916" t="s">
        <v>1252</v>
      </c>
      <c r="C251" s="917" t="s">
        <v>999</v>
      </c>
      <c r="D251" s="919"/>
      <c r="E251" s="919">
        <v>5000</v>
      </c>
      <c r="F251" s="919"/>
      <c r="G251" s="921"/>
    </row>
    <row r="252" spans="1:7" s="938" customFormat="1" ht="12.75">
      <c r="A252" s="966" t="s">
        <v>1009</v>
      </c>
      <c r="B252" s="916" t="s">
        <v>1254</v>
      </c>
      <c r="C252" s="917" t="s">
        <v>999</v>
      </c>
      <c r="D252" s="919"/>
      <c r="E252" s="919">
        <v>5000</v>
      </c>
      <c r="F252" s="919"/>
      <c r="G252" s="921"/>
    </row>
    <row r="253" spans="1:7" s="938" customFormat="1" ht="12.75">
      <c r="A253" s="966" t="s">
        <v>1009</v>
      </c>
      <c r="B253" s="916" t="s">
        <v>1247</v>
      </c>
      <c r="C253" s="917" t="s">
        <v>999</v>
      </c>
      <c r="D253" s="919"/>
      <c r="E253" s="919">
        <v>5000</v>
      </c>
      <c r="F253" s="919"/>
      <c r="G253" s="921"/>
    </row>
    <row r="254" spans="1:7" s="938" customFormat="1" ht="12.75">
      <c r="A254" s="966" t="s">
        <v>1009</v>
      </c>
      <c r="B254" s="916" t="s">
        <v>1251</v>
      </c>
      <c r="C254" s="917" t="s">
        <v>999</v>
      </c>
      <c r="D254" s="919"/>
      <c r="E254" s="919">
        <v>2000</v>
      </c>
      <c r="F254" s="919"/>
      <c r="G254" s="921"/>
    </row>
    <row r="255" spans="1:7" ht="12.75">
      <c r="A255" s="965" t="s">
        <v>808</v>
      </c>
      <c r="B255" s="909"/>
      <c r="C255" s="910" t="s">
        <v>809</v>
      </c>
      <c r="D255" s="912">
        <f>D261</f>
        <v>235000</v>
      </c>
      <c r="E255" s="912">
        <v>400000</v>
      </c>
      <c r="F255" s="912"/>
      <c r="G255" s="914">
        <f>E255+F255+D255</f>
        <v>635000</v>
      </c>
    </row>
    <row r="256" spans="1:7" s="938" customFormat="1" ht="12.75">
      <c r="A256" s="966" t="s">
        <v>1010</v>
      </c>
      <c r="B256" s="916" t="s">
        <v>1246</v>
      </c>
      <c r="C256" s="917" t="s">
        <v>887</v>
      </c>
      <c r="D256" s="919"/>
      <c r="E256" s="919">
        <v>250000</v>
      </c>
      <c r="F256" s="919"/>
      <c r="G256" s="921"/>
    </row>
    <row r="257" spans="1:7" s="938" customFormat="1" ht="12.75">
      <c r="A257" s="966" t="s">
        <v>1010</v>
      </c>
      <c r="B257" s="916" t="s">
        <v>1255</v>
      </c>
      <c r="C257" s="917" t="s">
        <v>887</v>
      </c>
      <c r="D257" s="919"/>
      <c r="E257" s="919">
        <v>10000</v>
      </c>
      <c r="F257" s="919"/>
      <c r="G257" s="921"/>
    </row>
    <row r="258" spans="1:7" s="938" customFormat="1" ht="12.75">
      <c r="A258" s="966" t="s">
        <v>1012</v>
      </c>
      <c r="B258" s="916" t="s">
        <v>1246</v>
      </c>
      <c r="C258" s="917" t="s">
        <v>1004</v>
      </c>
      <c r="D258" s="919"/>
      <c r="E258" s="919">
        <v>10000</v>
      </c>
      <c r="F258" s="919"/>
      <c r="G258" s="921"/>
    </row>
    <row r="259" spans="1:7" s="938" customFormat="1" ht="12.75">
      <c r="A259" s="966" t="s">
        <v>1011</v>
      </c>
      <c r="B259" s="916" t="s">
        <v>1246</v>
      </c>
      <c r="C259" s="917" t="s">
        <v>999</v>
      </c>
      <c r="D259" s="919"/>
      <c r="E259" s="919">
        <v>100000</v>
      </c>
      <c r="F259" s="919"/>
      <c r="G259" s="921"/>
    </row>
    <row r="260" spans="1:7" s="938" customFormat="1" ht="12.75">
      <c r="A260" s="966" t="s">
        <v>1011</v>
      </c>
      <c r="B260" s="916" t="s">
        <v>1255</v>
      </c>
      <c r="C260" s="917" t="s">
        <v>999</v>
      </c>
      <c r="D260" s="919"/>
      <c r="E260" s="919">
        <v>10000</v>
      </c>
      <c r="F260" s="919"/>
      <c r="G260" s="921"/>
    </row>
    <row r="261" spans="1:7" s="938" customFormat="1" ht="12.75">
      <c r="A261" s="966" t="s">
        <v>1013</v>
      </c>
      <c r="B261" s="916" t="s">
        <v>1246</v>
      </c>
      <c r="C261" s="917" t="s">
        <v>913</v>
      </c>
      <c r="D261" s="919">
        <v>235000</v>
      </c>
      <c r="E261" s="919">
        <v>20000</v>
      </c>
      <c r="F261" s="919"/>
      <c r="G261" s="921"/>
    </row>
    <row r="262" spans="1:8" ht="12.75">
      <c r="A262" s="965" t="s">
        <v>810</v>
      </c>
      <c r="B262" s="909"/>
      <c r="C262" s="910" t="s">
        <v>811</v>
      </c>
      <c r="D262" s="912"/>
      <c r="E262" s="912">
        <v>360000</v>
      </c>
      <c r="F262" s="912"/>
      <c r="G262" s="914">
        <f>E262+F262+D262</f>
        <v>360000</v>
      </c>
      <c r="H262" s="928"/>
    </row>
    <row r="263" spans="1:8" s="938" customFormat="1" ht="12.75">
      <c r="A263" s="966" t="s">
        <v>1014</v>
      </c>
      <c r="B263" s="916" t="s">
        <v>1246</v>
      </c>
      <c r="C263" s="917" t="s">
        <v>1015</v>
      </c>
      <c r="D263" s="919"/>
      <c r="E263" s="919">
        <v>150000</v>
      </c>
      <c r="F263" s="919"/>
      <c r="G263" s="921"/>
      <c r="H263" s="939"/>
    </row>
    <row r="264" spans="1:8" s="938" customFormat="1" ht="12.75">
      <c r="A264" s="966" t="s">
        <v>1014</v>
      </c>
      <c r="B264" s="916" t="s">
        <v>1256</v>
      </c>
      <c r="C264" s="917" t="s">
        <v>1015</v>
      </c>
      <c r="D264" s="919"/>
      <c r="E264" s="919">
        <v>30000</v>
      </c>
      <c r="F264" s="919"/>
      <c r="G264" s="921"/>
      <c r="H264" s="939"/>
    </row>
    <row r="265" spans="1:8" s="938" customFormat="1" ht="12.75">
      <c r="A265" s="966" t="s">
        <v>1014</v>
      </c>
      <c r="B265" s="916" t="s">
        <v>1257</v>
      </c>
      <c r="C265" s="917" t="s">
        <v>1015</v>
      </c>
      <c r="D265" s="919"/>
      <c r="E265" s="919">
        <v>150000</v>
      </c>
      <c r="F265" s="919"/>
      <c r="G265" s="921"/>
      <c r="H265" s="939"/>
    </row>
    <row r="266" spans="1:8" s="938" customFormat="1" ht="12.75">
      <c r="A266" s="966" t="s">
        <v>1014</v>
      </c>
      <c r="B266" s="916" t="s">
        <v>1258</v>
      </c>
      <c r="C266" s="917" t="s">
        <v>1015</v>
      </c>
      <c r="D266" s="919"/>
      <c r="E266" s="919">
        <v>30000</v>
      </c>
      <c r="F266" s="919"/>
      <c r="G266" s="921"/>
      <c r="H266" s="939"/>
    </row>
    <row r="267" spans="1:7" ht="12.75">
      <c r="A267" s="965" t="s">
        <v>812</v>
      </c>
      <c r="B267" s="909"/>
      <c r="C267" s="910" t="s">
        <v>813</v>
      </c>
      <c r="D267" s="912"/>
      <c r="E267" s="912">
        <v>96000</v>
      </c>
      <c r="F267" s="912"/>
      <c r="G267" s="914">
        <f>E267+F267+D267</f>
        <v>96000</v>
      </c>
    </row>
    <row r="268" spans="1:7" s="938" customFormat="1" ht="12.75">
      <c r="A268" s="966" t="s">
        <v>1017</v>
      </c>
      <c r="B268" s="916" t="s">
        <v>1246</v>
      </c>
      <c r="C268" s="917" t="s">
        <v>1004</v>
      </c>
      <c r="D268" s="919"/>
      <c r="E268" s="919">
        <v>6000</v>
      </c>
      <c r="F268" s="919"/>
      <c r="G268" s="921"/>
    </row>
    <row r="269" spans="1:7" s="938" customFormat="1" ht="12.75">
      <c r="A269" s="966" t="s">
        <v>1016</v>
      </c>
      <c r="B269" s="916" t="s">
        <v>1246</v>
      </c>
      <c r="C269" s="917" t="s">
        <v>999</v>
      </c>
      <c r="D269" s="919"/>
      <c r="E269" s="919">
        <v>90000</v>
      </c>
      <c r="F269" s="919"/>
      <c r="G269" s="921"/>
    </row>
    <row r="270" spans="1:7" ht="12.75">
      <c r="A270" s="965" t="s">
        <v>826</v>
      </c>
      <c r="B270" s="909"/>
      <c r="C270" s="910" t="s">
        <v>827</v>
      </c>
      <c r="D270" s="912"/>
      <c r="E270" s="912">
        <v>239000</v>
      </c>
      <c r="F270" s="912"/>
      <c r="G270" s="914">
        <f>E270+F270+D270</f>
        <v>239000</v>
      </c>
    </row>
    <row r="271" spans="1:7" s="938" customFormat="1" ht="12.75">
      <c r="A271" s="966" t="s">
        <v>1018</v>
      </c>
      <c r="B271" s="916" t="s">
        <v>1259</v>
      </c>
      <c r="C271" s="917" t="s">
        <v>885</v>
      </c>
      <c r="D271" s="919"/>
      <c r="E271" s="919">
        <v>239000</v>
      </c>
      <c r="F271" s="919"/>
      <c r="G271" s="921"/>
    </row>
    <row r="272" spans="1:8" ht="12.75">
      <c r="A272" s="965" t="s">
        <v>814</v>
      </c>
      <c r="B272" s="909"/>
      <c r="C272" s="910" t="s">
        <v>815</v>
      </c>
      <c r="D272" s="912"/>
      <c r="E272" s="912">
        <v>67200</v>
      </c>
      <c r="F272" s="912"/>
      <c r="G272" s="914">
        <f>E272+F272+D272</f>
        <v>67200</v>
      </c>
      <c r="H272" s="928"/>
    </row>
    <row r="273" spans="1:8" s="938" customFormat="1" ht="12.75">
      <c r="A273" s="966" t="s">
        <v>1019</v>
      </c>
      <c r="B273" s="916" t="s">
        <v>1260</v>
      </c>
      <c r="C273" s="917" t="s">
        <v>885</v>
      </c>
      <c r="D273" s="919"/>
      <c r="E273" s="919"/>
      <c r="F273" s="919"/>
      <c r="G273" s="921"/>
      <c r="H273" s="939"/>
    </row>
    <row r="274" spans="1:8" s="938" customFormat="1" ht="12.75">
      <c r="A274" s="966" t="s">
        <v>1020</v>
      </c>
      <c r="B274" s="916" t="s">
        <v>1261</v>
      </c>
      <c r="C274" s="917" t="s">
        <v>887</v>
      </c>
      <c r="D274" s="919"/>
      <c r="E274" s="919"/>
      <c r="F274" s="919"/>
      <c r="G274" s="921"/>
      <c r="H274" s="939"/>
    </row>
    <row r="275" spans="1:8" s="938" customFormat="1" ht="12.75">
      <c r="A275" s="966" t="s">
        <v>1021</v>
      </c>
      <c r="B275" s="916" t="s">
        <v>1261</v>
      </c>
      <c r="C275" s="917" t="s">
        <v>999</v>
      </c>
      <c r="D275" s="919"/>
      <c r="E275" s="919"/>
      <c r="F275" s="919"/>
      <c r="G275" s="921"/>
      <c r="H275" s="939"/>
    </row>
    <row r="276" spans="1:7" ht="12.75">
      <c r="A276" s="965" t="s">
        <v>816</v>
      </c>
      <c r="B276" s="909"/>
      <c r="C276" s="910" t="s">
        <v>817</v>
      </c>
      <c r="D276" s="912">
        <v>120000</v>
      </c>
      <c r="E276" s="912">
        <f>SUM(E277:E295)</f>
        <v>2924400</v>
      </c>
      <c r="F276" s="912"/>
      <c r="G276" s="914">
        <f>E276+F276+D276</f>
        <v>3044400</v>
      </c>
    </row>
    <row r="277" spans="1:7" s="938" customFormat="1" ht="12.75">
      <c r="A277" s="966" t="s">
        <v>1022</v>
      </c>
      <c r="B277" s="916" t="s">
        <v>1246</v>
      </c>
      <c r="C277" s="917" t="s">
        <v>885</v>
      </c>
      <c r="D277" s="919"/>
      <c r="E277" s="919">
        <v>1065400</v>
      </c>
      <c r="F277" s="919"/>
      <c r="G277" s="921"/>
    </row>
    <row r="278" spans="1:7" s="938" customFormat="1" ht="12.75">
      <c r="A278" s="966" t="s">
        <v>1341</v>
      </c>
      <c r="B278" s="916" t="s">
        <v>1246</v>
      </c>
      <c r="C278" s="917" t="s">
        <v>1300</v>
      </c>
      <c r="D278" s="919"/>
      <c r="E278" s="919">
        <v>1000</v>
      </c>
      <c r="F278" s="919"/>
      <c r="G278" s="921"/>
    </row>
    <row r="279" spans="1:7" s="938" customFormat="1" ht="12.75">
      <c r="A279" s="966" t="s">
        <v>1342</v>
      </c>
      <c r="B279" s="916" t="s">
        <v>1246</v>
      </c>
      <c r="C279" s="917" t="s">
        <v>1300</v>
      </c>
      <c r="D279" s="919"/>
      <c r="E279" s="919">
        <v>15000</v>
      </c>
      <c r="F279" s="919"/>
      <c r="G279" s="921"/>
    </row>
    <row r="280" spans="1:7" s="938" customFormat="1" ht="12.75">
      <c r="A280" s="966" t="s">
        <v>1023</v>
      </c>
      <c r="B280" s="916" t="s">
        <v>1246</v>
      </c>
      <c r="C280" s="917" t="s">
        <v>1026</v>
      </c>
      <c r="D280" s="919"/>
      <c r="E280" s="919">
        <v>500000</v>
      </c>
      <c r="F280" s="919"/>
      <c r="G280" s="921"/>
    </row>
    <row r="281" spans="1:7" s="938" customFormat="1" ht="12.75">
      <c r="A281" s="966" t="s">
        <v>1023</v>
      </c>
      <c r="B281" s="916" t="s">
        <v>1254</v>
      </c>
      <c r="C281" s="917" t="s">
        <v>1026</v>
      </c>
      <c r="D281" s="919"/>
      <c r="E281" s="919">
        <v>40000</v>
      </c>
      <c r="F281" s="919"/>
      <c r="G281" s="921"/>
    </row>
    <row r="282" spans="1:7" s="938" customFormat="1" ht="12.75">
      <c r="A282" s="966" t="s">
        <v>1023</v>
      </c>
      <c r="B282" s="916" t="s">
        <v>1262</v>
      </c>
      <c r="C282" s="917" t="s">
        <v>1026</v>
      </c>
      <c r="D282" s="919"/>
      <c r="E282" s="919">
        <v>15000</v>
      </c>
      <c r="F282" s="919"/>
      <c r="G282" s="921"/>
    </row>
    <row r="283" spans="1:7" s="938" customFormat="1" ht="12.75">
      <c r="A283" s="966" t="s">
        <v>1023</v>
      </c>
      <c r="B283" s="916" t="s">
        <v>1253</v>
      </c>
      <c r="C283" s="917" t="s">
        <v>1026</v>
      </c>
      <c r="D283" s="919"/>
      <c r="E283" s="919">
        <v>100000</v>
      </c>
      <c r="F283" s="919"/>
      <c r="G283" s="921"/>
    </row>
    <row r="284" spans="1:7" s="938" customFormat="1" ht="12.75">
      <c r="A284" s="966" t="s">
        <v>1023</v>
      </c>
      <c r="B284" s="916" t="s">
        <v>1257</v>
      </c>
      <c r="C284" s="917" t="s">
        <v>1026</v>
      </c>
      <c r="D284" s="919"/>
      <c r="E284" s="919">
        <v>10000</v>
      </c>
      <c r="F284" s="919"/>
      <c r="G284" s="921"/>
    </row>
    <row r="285" spans="1:7" s="938" customFormat="1" ht="12.75">
      <c r="A285" s="966" t="s">
        <v>1024</v>
      </c>
      <c r="B285" s="916" t="s">
        <v>1255</v>
      </c>
      <c r="C285" s="917" t="s">
        <v>1026</v>
      </c>
      <c r="D285" s="919"/>
      <c r="E285" s="919">
        <v>10000</v>
      </c>
      <c r="F285" s="919"/>
      <c r="G285" s="921"/>
    </row>
    <row r="286" spans="1:7" s="938" customFormat="1" ht="12.75">
      <c r="A286" s="966" t="s">
        <v>1025</v>
      </c>
      <c r="B286" s="916" t="s">
        <v>1246</v>
      </c>
      <c r="C286" s="917" t="s">
        <v>886</v>
      </c>
      <c r="D286" s="919"/>
      <c r="E286" s="919">
        <v>2000</v>
      </c>
      <c r="F286" s="919"/>
      <c r="G286" s="921"/>
    </row>
    <row r="287" spans="1:7" s="938" customFormat="1" ht="12.75">
      <c r="A287" s="966" t="s">
        <v>1027</v>
      </c>
      <c r="B287" s="916" t="s">
        <v>1246</v>
      </c>
      <c r="C287" s="917" t="s">
        <v>887</v>
      </c>
      <c r="D287" s="919"/>
      <c r="E287" s="919">
        <v>350000</v>
      </c>
      <c r="F287" s="919"/>
      <c r="G287" s="921"/>
    </row>
    <row r="288" spans="1:7" s="938" customFormat="1" ht="12.75">
      <c r="A288" s="966" t="s">
        <v>1027</v>
      </c>
      <c r="B288" s="916" t="s">
        <v>1254</v>
      </c>
      <c r="C288" s="917" t="s">
        <v>887</v>
      </c>
      <c r="D288" s="919"/>
      <c r="E288" s="919">
        <v>5000</v>
      </c>
      <c r="F288" s="919"/>
      <c r="G288" s="921"/>
    </row>
    <row r="289" spans="1:7" s="938" customFormat="1" ht="12.75">
      <c r="A289" s="966" t="s">
        <v>1027</v>
      </c>
      <c r="B289" s="916" t="s">
        <v>1257</v>
      </c>
      <c r="C289" s="917" t="s">
        <v>887</v>
      </c>
      <c r="D289" s="919"/>
      <c r="E289" s="919">
        <v>40000</v>
      </c>
      <c r="F289" s="919"/>
      <c r="G289" s="921"/>
    </row>
    <row r="290" spans="1:7" s="938" customFormat="1" ht="12.75">
      <c r="A290" s="966" t="s">
        <v>1027</v>
      </c>
      <c r="B290" s="916" t="s">
        <v>1255</v>
      </c>
      <c r="C290" s="917" t="s">
        <v>887</v>
      </c>
      <c r="D290" s="919"/>
      <c r="E290" s="919">
        <v>10000</v>
      </c>
      <c r="F290" s="919"/>
      <c r="G290" s="921"/>
    </row>
    <row r="291" spans="1:7" s="938" customFormat="1" ht="12.75">
      <c r="A291" s="966" t="s">
        <v>1028</v>
      </c>
      <c r="B291" s="916" t="s">
        <v>1246</v>
      </c>
      <c r="C291" s="917" t="s">
        <v>1004</v>
      </c>
      <c r="D291" s="919"/>
      <c r="E291" s="919">
        <v>1000</v>
      </c>
      <c r="F291" s="919"/>
      <c r="G291" s="921"/>
    </row>
    <row r="292" spans="1:7" s="938" customFormat="1" ht="12.75">
      <c r="A292" s="966" t="s">
        <v>1029</v>
      </c>
      <c r="B292" s="916" t="s">
        <v>1246</v>
      </c>
      <c r="C292" s="917" t="s">
        <v>999</v>
      </c>
      <c r="D292" s="919"/>
      <c r="E292" s="919">
        <v>750000</v>
      </c>
      <c r="F292" s="919"/>
      <c r="G292" s="921"/>
    </row>
    <row r="293" spans="1:7" s="938" customFormat="1" ht="12.75">
      <c r="A293" s="966" t="s">
        <v>1029</v>
      </c>
      <c r="B293" s="916" t="s">
        <v>1263</v>
      </c>
      <c r="C293" s="917" t="s">
        <v>999</v>
      </c>
      <c r="D293" s="919"/>
      <c r="E293" s="919">
        <v>10000</v>
      </c>
      <c r="F293" s="919"/>
      <c r="G293" s="921"/>
    </row>
    <row r="294" spans="1:7" s="938" customFormat="1" ht="12.75">
      <c r="A294" s="966" t="s">
        <v>1030</v>
      </c>
      <c r="B294" s="916" t="s">
        <v>1246</v>
      </c>
      <c r="C294" s="917" t="s">
        <v>913</v>
      </c>
      <c r="D294" s="919">
        <v>5000</v>
      </c>
      <c r="E294" s="919"/>
      <c r="F294" s="919"/>
      <c r="G294" s="921"/>
    </row>
    <row r="295" spans="1:7" s="938" customFormat="1" ht="12.75">
      <c r="A295" s="966" t="s">
        <v>1031</v>
      </c>
      <c r="B295" s="916" t="s">
        <v>1246</v>
      </c>
      <c r="C295" s="917" t="s">
        <v>930</v>
      </c>
      <c r="D295" s="919">
        <v>115000</v>
      </c>
      <c r="E295" s="919"/>
      <c r="F295" s="919"/>
      <c r="G295" s="921"/>
    </row>
    <row r="296" spans="1:7" ht="12.75">
      <c r="A296" s="965" t="s">
        <v>818</v>
      </c>
      <c r="B296" s="909"/>
      <c r="C296" s="910" t="s">
        <v>819</v>
      </c>
      <c r="D296" s="912"/>
      <c r="E296" s="912">
        <v>150000</v>
      </c>
      <c r="F296" s="912"/>
      <c r="G296" s="914">
        <f>D296+E296+F296</f>
        <v>150000</v>
      </c>
    </row>
    <row r="297" spans="1:7" s="938" customFormat="1" ht="12.75">
      <c r="A297" s="966" t="s">
        <v>1032</v>
      </c>
      <c r="B297" s="916" t="s">
        <v>1262</v>
      </c>
      <c r="C297" s="917" t="s">
        <v>1033</v>
      </c>
      <c r="D297" s="919"/>
      <c r="E297" s="919">
        <v>100000</v>
      </c>
      <c r="F297" s="919"/>
      <c r="G297" s="921"/>
    </row>
    <row r="298" spans="1:7" s="938" customFormat="1" ht="12.75">
      <c r="A298" s="966" t="s">
        <v>1034</v>
      </c>
      <c r="B298" s="916" t="s">
        <v>1255</v>
      </c>
      <c r="C298" s="917" t="s">
        <v>1035</v>
      </c>
      <c r="D298" s="919"/>
      <c r="E298" s="919">
        <v>50000</v>
      </c>
      <c r="F298" s="919"/>
      <c r="G298" s="921"/>
    </row>
    <row r="299" spans="1:7" ht="12.75">
      <c r="A299" s="965" t="s">
        <v>820</v>
      </c>
      <c r="B299" s="909"/>
      <c r="C299" s="910" t="s">
        <v>821</v>
      </c>
      <c r="D299" s="912"/>
      <c r="E299" s="912">
        <v>250000</v>
      </c>
      <c r="F299" s="912"/>
      <c r="G299" s="914">
        <f>D299+E299+F299</f>
        <v>250000</v>
      </c>
    </row>
    <row r="300" spans="1:7" s="938" customFormat="1" ht="12.75">
      <c r="A300" s="966" t="s">
        <v>1036</v>
      </c>
      <c r="B300" s="949" t="s">
        <v>1255</v>
      </c>
      <c r="C300" s="917" t="s">
        <v>887</v>
      </c>
      <c r="D300" s="919"/>
      <c r="E300" s="919">
        <v>150000</v>
      </c>
      <c r="F300" s="919"/>
      <c r="G300" s="921"/>
    </row>
    <row r="301" spans="1:7" s="938" customFormat="1" ht="12.75">
      <c r="A301" s="966" t="s">
        <v>1037</v>
      </c>
      <c r="B301" s="949" t="s">
        <v>1255</v>
      </c>
      <c r="C301" s="917" t="s">
        <v>1004</v>
      </c>
      <c r="D301" s="919"/>
      <c r="E301" s="919">
        <v>10000</v>
      </c>
      <c r="F301" s="919"/>
      <c r="G301" s="921"/>
    </row>
    <row r="302" spans="1:7" s="938" customFormat="1" ht="12.75">
      <c r="A302" s="966" t="s">
        <v>1038</v>
      </c>
      <c r="B302" s="949" t="s">
        <v>1255</v>
      </c>
      <c r="C302" s="917" t="s">
        <v>999</v>
      </c>
      <c r="D302" s="919"/>
      <c r="E302" s="919">
        <v>90000</v>
      </c>
      <c r="F302" s="919"/>
      <c r="G302" s="921"/>
    </row>
    <row r="303" spans="1:7" ht="12.75">
      <c r="A303" s="965" t="s">
        <v>1265</v>
      </c>
      <c r="B303" s="909"/>
      <c r="C303" s="910" t="s">
        <v>822</v>
      </c>
      <c r="D303" s="912"/>
      <c r="E303" s="912">
        <v>3000</v>
      </c>
      <c r="F303" s="912"/>
      <c r="G303" s="914">
        <f>F303+E303+D303</f>
        <v>3000</v>
      </c>
    </row>
    <row r="304" spans="1:7" s="938" customFormat="1" ht="12.75">
      <c r="A304" s="966" t="s">
        <v>1266</v>
      </c>
      <c r="B304" s="916" t="s">
        <v>1246</v>
      </c>
      <c r="C304" s="917" t="s">
        <v>887</v>
      </c>
      <c r="D304" s="919"/>
      <c r="E304" s="919">
        <v>1000</v>
      </c>
      <c r="F304" s="919"/>
      <c r="G304" s="921"/>
    </row>
    <row r="305" spans="1:7" s="938" customFormat="1" ht="12.75">
      <c r="A305" s="966" t="s">
        <v>1268</v>
      </c>
      <c r="B305" s="916" t="s">
        <v>1246</v>
      </c>
      <c r="C305" s="917" t="s">
        <v>1004</v>
      </c>
      <c r="D305" s="919"/>
      <c r="E305" s="919">
        <v>500</v>
      </c>
      <c r="F305" s="919"/>
      <c r="G305" s="921"/>
    </row>
    <row r="306" spans="1:7" s="938" customFormat="1" ht="12.75">
      <c r="A306" s="966" t="s">
        <v>1267</v>
      </c>
      <c r="B306" s="916" t="s">
        <v>1246</v>
      </c>
      <c r="C306" s="917" t="s">
        <v>999</v>
      </c>
      <c r="D306" s="919"/>
      <c r="E306" s="919">
        <v>1500</v>
      </c>
      <c r="F306" s="919"/>
      <c r="G306" s="921"/>
    </row>
    <row r="307" spans="1:7" ht="12.75">
      <c r="A307" s="965" t="s">
        <v>1426</v>
      </c>
      <c r="B307" s="909"/>
      <c r="C307" s="910" t="s">
        <v>823</v>
      </c>
      <c r="D307" s="912"/>
      <c r="E307" s="912">
        <v>30000</v>
      </c>
      <c r="F307" s="912"/>
      <c r="G307" s="914">
        <f>D307+E307+F307</f>
        <v>30000</v>
      </c>
    </row>
    <row r="308" spans="1:7" s="938" customFormat="1" ht="12.75">
      <c r="A308" s="966" t="s">
        <v>1427</v>
      </c>
      <c r="B308" s="949" t="s">
        <v>1246</v>
      </c>
      <c r="C308" s="917" t="s">
        <v>887</v>
      </c>
      <c r="D308" s="919"/>
      <c r="E308" s="919">
        <v>5000</v>
      </c>
      <c r="F308" s="919"/>
      <c r="G308" s="921"/>
    </row>
    <row r="309" spans="1:7" s="938" customFormat="1" ht="12.75">
      <c r="A309" s="966" t="s">
        <v>1428</v>
      </c>
      <c r="B309" s="949" t="s">
        <v>1246</v>
      </c>
      <c r="C309" s="917" t="s">
        <v>999</v>
      </c>
      <c r="D309" s="919"/>
      <c r="E309" s="919">
        <v>20000</v>
      </c>
      <c r="F309" s="919"/>
      <c r="G309" s="921"/>
    </row>
    <row r="310" spans="1:7" ht="12.75">
      <c r="A310" s="965" t="s">
        <v>1429</v>
      </c>
      <c r="B310" s="909"/>
      <c r="C310" s="910" t="s">
        <v>824</v>
      </c>
      <c r="D310" s="912"/>
      <c r="E310" s="912">
        <f>SUM(E311:E315)</f>
        <v>59000</v>
      </c>
      <c r="F310" s="912"/>
      <c r="G310" s="914">
        <f>D310+E310+F310</f>
        <v>59000</v>
      </c>
    </row>
    <row r="311" spans="1:7" s="938" customFormat="1" ht="12.75">
      <c r="A311" s="966" t="s">
        <v>1430</v>
      </c>
      <c r="B311" s="949" t="s">
        <v>1251</v>
      </c>
      <c r="C311" s="917" t="s">
        <v>885</v>
      </c>
      <c r="D311" s="919"/>
      <c r="E311" s="919">
        <v>42000</v>
      </c>
      <c r="F311" s="919"/>
      <c r="G311" s="921"/>
    </row>
    <row r="312" spans="1:7" s="938" customFormat="1" ht="12.75">
      <c r="A312" s="966" t="s">
        <v>1431</v>
      </c>
      <c r="B312" s="949" t="s">
        <v>1251</v>
      </c>
      <c r="C312" s="917" t="s">
        <v>1300</v>
      </c>
      <c r="D312" s="919"/>
      <c r="E312" s="919">
        <v>1000</v>
      </c>
      <c r="F312" s="919"/>
      <c r="G312" s="921"/>
    </row>
    <row r="313" spans="1:7" s="938" customFormat="1" ht="12.75">
      <c r="A313" s="966" t="s">
        <v>1432</v>
      </c>
      <c r="B313" s="949" t="s">
        <v>1251</v>
      </c>
      <c r="C313" s="917" t="s">
        <v>1300</v>
      </c>
      <c r="D313" s="919"/>
      <c r="E313" s="919">
        <v>1000</v>
      </c>
      <c r="F313" s="919"/>
      <c r="G313" s="921"/>
    </row>
    <row r="314" spans="1:7" s="938" customFormat="1" ht="12.75">
      <c r="A314" s="966" t="s">
        <v>1433</v>
      </c>
      <c r="B314" s="949" t="s">
        <v>1251</v>
      </c>
      <c r="C314" s="917" t="s">
        <v>887</v>
      </c>
      <c r="D314" s="919"/>
      <c r="E314" s="919">
        <v>10000</v>
      </c>
      <c r="F314" s="919"/>
      <c r="G314" s="921"/>
    </row>
    <row r="315" spans="1:7" s="938" customFormat="1" ht="12.75">
      <c r="A315" s="966" t="s">
        <v>1434</v>
      </c>
      <c r="B315" s="949" t="s">
        <v>1568</v>
      </c>
      <c r="C315" s="917" t="s">
        <v>999</v>
      </c>
      <c r="D315" s="919"/>
      <c r="E315" s="919">
        <v>5000</v>
      </c>
      <c r="F315" s="919"/>
      <c r="G315" s="921"/>
    </row>
    <row r="316" spans="1:7" ht="12.75">
      <c r="A316" s="965" t="s">
        <v>1435</v>
      </c>
      <c r="B316" s="909"/>
      <c r="C316" s="910" t="s">
        <v>825</v>
      </c>
      <c r="D316" s="912"/>
      <c r="E316" s="912">
        <f>SUM(E317:E318)</f>
        <v>20000</v>
      </c>
      <c r="F316" s="912"/>
      <c r="G316" s="914">
        <f>D316+E316+F316</f>
        <v>20000</v>
      </c>
    </row>
    <row r="317" spans="1:7" s="938" customFormat="1" ht="12.75">
      <c r="A317" s="966" t="s">
        <v>1436</v>
      </c>
      <c r="B317" s="949" t="s">
        <v>1252</v>
      </c>
      <c r="C317" s="917" t="s">
        <v>887</v>
      </c>
      <c r="D317" s="919"/>
      <c r="E317" s="919">
        <v>10000</v>
      </c>
      <c r="F317" s="919"/>
      <c r="G317" s="921"/>
    </row>
    <row r="318" spans="1:7" s="938" customFormat="1" ht="13.5" thickBot="1">
      <c r="A318" s="966" t="s">
        <v>1437</v>
      </c>
      <c r="B318" s="949" t="s">
        <v>1252</v>
      </c>
      <c r="C318" s="917" t="s">
        <v>999</v>
      </c>
      <c r="D318" s="972"/>
      <c r="E318" s="972">
        <v>10000</v>
      </c>
      <c r="F318" s="972"/>
      <c r="G318" s="921"/>
    </row>
    <row r="319" spans="1:7" ht="13.5" thickBot="1">
      <c r="A319" s="922" t="s">
        <v>1264</v>
      </c>
      <c r="B319" s="923"/>
      <c r="C319" s="923"/>
      <c r="D319" s="923"/>
      <c r="E319" s="923"/>
      <c r="F319" s="924"/>
      <c r="G319" s="925">
        <f>SUM(G219:G316)</f>
        <v>8785944.8</v>
      </c>
    </row>
    <row r="322" ht="13.5" thickBot="1"/>
    <row r="323" spans="1:7" ht="13.5" thickBot="1">
      <c r="A323" s="899" t="s">
        <v>828</v>
      </c>
      <c r="B323" s="900"/>
      <c r="C323" s="900"/>
      <c r="D323" s="900"/>
      <c r="E323" s="900"/>
      <c r="F323" s="900"/>
      <c r="G323" s="901"/>
    </row>
    <row r="324" spans="1:7" ht="12.75">
      <c r="A324" s="903" t="s">
        <v>729</v>
      </c>
      <c r="B324" s="975" t="s">
        <v>1238</v>
      </c>
      <c r="C324" s="904" t="s">
        <v>730</v>
      </c>
      <c r="D324" s="905" t="s">
        <v>731</v>
      </c>
      <c r="E324" s="906" t="s">
        <v>585</v>
      </c>
      <c r="F324" s="905" t="s">
        <v>742</v>
      </c>
      <c r="G324" s="907" t="s">
        <v>732</v>
      </c>
    </row>
    <row r="325" spans="1:7" ht="12.75">
      <c r="A325" s="908" t="s">
        <v>829</v>
      </c>
      <c r="B325" s="909"/>
      <c r="C325" s="910" t="s">
        <v>734</v>
      </c>
      <c r="D325" s="912"/>
      <c r="E325" s="912">
        <f>E326</f>
        <v>5000</v>
      </c>
      <c r="F325" s="912"/>
      <c r="G325" s="914">
        <f>E325+F325+D325</f>
        <v>5000</v>
      </c>
    </row>
    <row r="326" spans="1:7" s="938" customFormat="1" ht="12.75">
      <c r="A326" s="915" t="s">
        <v>1039</v>
      </c>
      <c r="B326" s="916" t="s">
        <v>725</v>
      </c>
      <c r="C326" s="917" t="s">
        <v>913</v>
      </c>
      <c r="D326" s="919"/>
      <c r="E326" s="919">
        <v>5000</v>
      </c>
      <c r="F326" s="919"/>
      <c r="G326" s="921"/>
    </row>
    <row r="327" spans="1:7" ht="12.75">
      <c r="A327" s="908" t="s">
        <v>830</v>
      </c>
      <c r="B327" s="909"/>
      <c r="C327" s="910" t="s">
        <v>831</v>
      </c>
      <c r="D327" s="912"/>
      <c r="E327" s="912">
        <f>SUM(E328:E334)</f>
        <v>404920</v>
      </c>
      <c r="F327" s="912">
        <v>5000</v>
      </c>
      <c r="G327" s="914">
        <f>E327+F327+D327</f>
        <v>409920</v>
      </c>
    </row>
    <row r="328" spans="1:7" s="938" customFormat="1" ht="12.75">
      <c r="A328" s="915" t="s">
        <v>1040</v>
      </c>
      <c r="B328" s="916" t="s">
        <v>725</v>
      </c>
      <c r="C328" s="917" t="s">
        <v>1043</v>
      </c>
      <c r="D328" s="919"/>
      <c r="E328" s="919">
        <v>296420</v>
      </c>
      <c r="F328" s="919"/>
      <c r="G328" s="921"/>
    </row>
    <row r="329" spans="1:7" s="938" customFormat="1" ht="12.75">
      <c r="A329" s="915" t="s">
        <v>1343</v>
      </c>
      <c r="B329" s="916"/>
      <c r="C329" s="917"/>
      <c r="D329" s="919"/>
      <c r="E329" s="919">
        <v>17000</v>
      </c>
      <c r="F329" s="919"/>
      <c r="G329" s="921"/>
    </row>
    <row r="330" spans="1:7" s="938" customFormat="1" ht="12.75">
      <c r="A330" s="915" t="s">
        <v>1344</v>
      </c>
      <c r="B330" s="916"/>
      <c r="C330" s="917"/>
      <c r="D330" s="919"/>
      <c r="E330" s="919">
        <v>5000</v>
      </c>
      <c r="F330" s="919"/>
      <c r="G330" s="921"/>
    </row>
    <row r="331" spans="1:7" s="938" customFormat="1" ht="12.75">
      <c r="A331" s="915" t="s">
        <v>1041</v>
      </c>
      <c r="B331" s="916" t="s">
        <v>725</v>
      </c>
      <c r="C331" s="917" t="s">
        <v>921</v>
      </c>
      <c r="D331" s="919"/>
      <c r="E331" s="919">
        <v>500</v>
      </c>
      <c r="F331" s="919"/>
      <c r="G331" s="921"/>
    </row>
    <row r="332" spans="1:8" s="938" customFormat="1" ht="12.75">
      <c r="A332" s="915" t="s">
        <v>1042</v>
      </c>
      <c r="B332" s="916" t="s">
        <v>725</v>
      </c>
      <c r="C332" s="917" t="s">
        <v>887</v>
      </c>
      <c r="D332" s="919"/>
      <c r="E332" s="919">
        <v>40000</v>
      </c>
      <c r="F332" s="919"/>
      <c r="G332" s="921"/>
      <c r="H332" s="939"/>
    </row>
    <row r="333" spans="1:7" s="938" customFormat="1" ht="12.75">
      <c r="A333" s="915" t="s">
        <v>1044</v>
      </c>
      <c r="B333" s="916" t="s">
        <v>725</v>
      </c>
      <c r="C333" s="917" t="s">
        <v>1045</v>
      </c>
      <c r="D333" s="919"/>
      <c r="E333" s="919">
        <v>1000</v>
      </c>
      <c r="F333" s="919"/>
      <c r="G333" s="921"/>
    </row>
    <row r="334" spans="1:7" s="938" customFormat="1" ht="12.75">
      <c r="A334" s="915" t="s">
        <v>1046</v>
      </c>
      <c r="B334" s="916" t="s">
        <v>725</v>
      </c>
      <c r="C334" s="917" t="s">
        <v>1047</v>
      </c>
      <c r="D334" s="919"/>
      <c r="E334" s="919">
        <v>45000</v>
      </c>
      <c r="F334" s="919"/>
      <c r="G334" s="921"/>
    </row>
    <row r="335" spans="1:7" s="938" customFormat="1" ht="12.75">
      <c r="A335" s="915" t="s">
        <v>1269</v>
      </c>
      <c r="B335" s="916" t="s">
        <v>725</v>
      </c>
      <c r="C335" s="917" t="s">
        <v>1052</v>
      </c>
      <c r="D335" s="919"/>
      <c r="E335" s="919"/>
      <c r="F335" s="919">
        <v>5000</v>
      </c>
      <c r="G335" s="921"/>
    </row>
    <row r="336" spans="1:7" ht="12.75">
      <c r="A336" s="965" t="s">
        <v>832</v>
      </c>
      <c r="B336" s="909"/>
      <c r="C336" s="910" t="s">
        <v>833</v>
      </c>
      <c r="D336" s="912"/>
      <c r="E336" s="912">
        <f>E337</f>
        <v>76000</v>
      </c>
      <c r="F336" s="912"/>
      <c r="G336" s="914">
        <f>E336+F336+D336</f>
        <v>76000</v>
      </c>
    </row>
    <row r="337" spans="1:7" s="938" customFormat="1" ht="12.75">
      <c r="A337" s="966" t="s">
        <v>1048</v>
      </c>
      <c r="B337" s="916" t="s">
        <v>725</v>
      </c>
      <c r="C337" s="917" t="s">
        <v>930</v>
      </c>
      <c r="D337" s="919"/>
      <c r="E337" s="919">
        <v>76000</v>
      </c>
      <c r="F337" s="919"/>
      <c r="G337" s="921"/>
    </row>
    <row r="338" spans="1:7" ht="12.75">
      <c r="A338" s="965" t="s">
        <v>834</v>
      </c>
      <c r="B338" s="909"/>
      <c r="C338" s="910" t="s">
        <v>835</v>
      </c>
      <c r="D338" s="912">
        <v>485000</v>
      </c>
      <c r="E338" s="912"/>
      <c r="F338" s="912"/>
      <c r="G338" s="914">
        <f>E338+F338+D338</f>
        <v>485000</v>
      </c>
    </row>
    <row r="339" spans="1:7" s="938" customFormat="1" ht="12.75">
      <c r="A339" s="966" t="s">
        <v>1049</v>
      </c>
      <c r="B339" s="916" t="s">
        <v>725</v>
      </c>
      <c r="C339" s="917" t="s">
        <v>887</v>
      </c>
      <c r="D339" s="919">
        <v>25000</v>
      </c>
      <c r="E339" s="919"/>
      <c r="F339" s="919"/>
      <c r="G339" s="921"/>
    </row>
    <row r="340" spans="1:7" s="938" customFormat="1" ht="12.75">
      <c r="A340" s="966" t="s">
        <v>1050</v>
      </c>
      <c r="B340" s="916" t="s">
        <v>725</v>
      </c>
      <c r="C340" s="917" t="s">
        <v>1045</v>
      </c>
      <c r="D340" s="919">
        <v>2000</v>
      </c>
      <c r="E340" s="919"/>
      <c r="F340" s="919"/>
      <c r="G340" s="921"/>
    </row>
    <row r="341" spans="1:7" s="938" customFormat="1" ht="12.75">
      <c r="A341" s="966" t="s">
        <v>1051</v>
      </c>
      <c r="B341" s="916" t="s">
        <v>725</v>
      </c>
      <c r="C341" s="917" t="s">
        <v>1047</v>
      </c>
      <c r="D341" s="919">
        <v>458000</v>
      </c>
      <c r="E341" s="919"/>
      <c r="F341" s="919"/>
      <c r="G341" s="921"/>
    </row>
    <row r="342" spans="1:7" ht="12.75">
      <c r="A342" s="965" t="s">
        <v>836</v>
      </c>
      <c r="B342" s="909"/>
      <c r="C342" s="910" t="s">
        <v>837</v>
      </c>
      <c r="D342" s="912">
        <v>35000</v>
      </c>
      <c r="E342" s="912"/>
      <c r="F342" s="912"/>
      <c r="G342" s="914">
        <f>E342+F342+D342</f>
        <v>35000</v>
      </c>
    </row>
    <row r="343" spans="1:7" s="938" customFormat="1" ht="12.75">
      <c r="A343" s="966" t="s">
        <v>1053</v>
      </c>
      <c r="B343" s="916" t="s">
        <v>725</v>
      </c>
      <c r="C343" s="917" t="s">
        <v>887</v>
      </c>
      <c r="D343" s="919">
        <v>5000</v>
      </c>
      <c r="E343" s="919"/>
      <c r="F343" s="919"/>
      <c r="G343" s="921"/>
    </row>
    <row r="344" spans="1:7" s="938" customFormat="1" ht="12.75">
      <c r="A344" s="966" t="s">
        <v>1054</v>
      </c>
      <c r="B344" s="916" t="s">
        <v>725</v>
      </c>
      <c r="C344" s="917" t="s">
        <v>1045</v>
      </c>
      <c r="D344" s="919">
        <v>5000</v>
      </c>
      <c r="E344" s="919"/>
      <c r="F344" s="919"/>
      <c r="G344" s="921"/>
    </row>
    <row r="345" spans="1:7" s="938" customFormat="1" ht="12.75">
      <c r="A345" s="966" t="s">
        <v>1055</v>
      </c>
      <c r="B345" s="916" t="s">
        <v>725</v>
      </c>
      <c r="C345" s="917" t="s">
        <v>1047</v>
      </c>
      <c r="D345" s="919">
        <v>25000</v>
      </c>
      <c r="E345" s="919"/>
      <c r="F345" s="919"/>
      <c r="G345" s="921"/>
    </row>
    <row r="346" spans="1:7" ht="12.75">
      <c r="A346" s="965" t="s">
        <v>838</v>
      </c>
      <c r="B346" s="909"/>
      <c r="C346" s="910" t="s">
        <v>839</v>
      </c>
      <c r="D346" s="912">
        <v>50000</v>
      </c>
      <c r="E346" s="912"/>
      <c r="F346" s="912"/>
      <c r="G346" s="914">
        <f>E346+F346+D346</f>
        <v>50000</v>
      </c>
    </row>
    <row r="347" spans="1:7" s="938" customFormat="1" ht="12.75">
      <c r="A347" s="966" t="s">
        <v>1056</v>
      </c>
      <c r="B347" s="916" t="s">
        <v>725</v>
      </c>
      <c r="C347" s="917" t="s">
        <v>887</v>
      </c>
      <c r="D347" s="919">
        <v>2000</v>
      </c>
      <c r="E347" s="919"/>
      <c r="F347" s="919"/>
      <c r="G347" s="921"/>
    </row>
    <row r="348" spans="1:7" s="938" customFormat="1" ht="12.75">
      <c r="A348" s="966" t="s">
        <v>1057</v>
      </c>
      <c r="B348" s="916" t="s">
        <v>725</v>
      </c>
      <c r="C348" s="917" t="s">
        <v>1045</v>
      </c>
      <c r="D348" s="919">
        <v>5000</v>
      </c>
      <c r="E348" s="919"/>
      <c r="F348" s="919"/>
      <c r="G348" s="921"/>
    </row>
    <row r="349" spans="1:7" s="938" customFormat="1" ht="12.75">
      <c r="A349" s="966" t="s">
        <v>1058</v>
      </c>
      <c r="B349" s="916" t="s">
        <v>725</v>
      </c>
      <c r="C349" s="917" t="s">
        <v>1047</v>
      </c>
      <c r="D349" s="919">
        <v>43000</v>
      </c>
      <c r="E349" s="919"/>
      <c r="F349" s="919"/>
      <c r="G349" s="921"/>
    </row>
    <row r="350" spans="1:7" ht="12.75">
      <c r="A350" s="965" t="s">
        <v>840</v>
      </c>
      <c r="B350" s="909"/>
      <c r="C350" s="910" t="s">
        <v>841</v>
      </c>
      <c r="D350" s="912">
        <v>39000</v>
      </c>
      <c r="E350" s="912"/>
      <c r="F350" s="912"/>
      <c r="G350" s="914">
        <f>E350+F350+D350</f>
        <v>39000</v>
      </c>
    </row>
    <row r="351" spans="1:7" s="938" customFormat="1" ht="12.75">
      <c r="A351" s="966" t="s">
        <v>1059</v>
      </c>
      <c r="B351" s="916" t="s">
        <v>725</v>
      </c>
      <c r="C351" s="917" t="s">
        <v>887</v>
      </c>
      <c r="D351" s="919">
        <v>1000</v>
      </c>
      <c r="E351" s="919"/>
      <c r="F351" s="919"/>
      <c r="G351" s="921"/>
    </row>
    <row r="352" spans="1:7" s="938" customFormat="1" ht="12.75">
      <c r="A352" s="966" t="s">
        <v>1060</v>
      </c>
      <c r="B352" s="916" t="s">
        <v>725</v>
      </c>
      <c r="C352" s="917" t="s">
        <v>1045</v>
      </c>
      <c r="D352" s="919">
        <v>3000</v>
      </c>
      <c r="E352" s="919"/>
      <c r="F352" s="919"/>
      <c r="G352" s="921"/>
    </row>
    <row r="353" spans="1:7" s="938" customFormat="1" ht="12.75">
      <c r="A353" s="966" t="s">
        <v>1061</v>
      </c>
      <c r="B353" s="916" t="s">
        <v>725</v>
      </c>
      <c r="C353" s="917" t="s">
        <v>1047</v>
      </c>
      <c r="D353" s="919">
        <v>35000</v>
      </c>
      <c r="E353" s="919"/>
      <c r="F353" s="919"/>
      <c r="G353" s="921"/>
    </row>
    <row r="354" spans="1:7" ht="12.75">
      <c r="A354" s="965" t="s">
        <v>842</v>
      </c>
      <c r="B354" s="909"/>
      <c r="C354" s="910" t="s">
        <v>843</v>
      </c>
      <c r="D354" s="912">
        <v>20000</v>
      </c>
      <c r="E354" s="912"/>
      <c r="F354" s="912"/>
      <c r="G354" s="914">
        <f>E354+F354+D354</f>
        <v>20000</v>
      </c>
    </row>
    <row r="355" spans="1:7" s="938" customFormat="1" ht="12.75">
      <c r="A355" s="966" t="s">
        <v>1062</v>
      </c>
      <c r="B355" s="916" t="s">
        <v>725</v>
      </c>
      <c r="C355" s="917" t="s">
        <v>887</v>
      </c>
      <c r="D355" s="919">
        <v>1000</v>
      </c>
      <c r="E355" s="919"/>
      <c r="F355" s="919"/>
      <c r="G355" s="921"/>
    </row>
    <row r="356" spans="1:7" s="938" customFormat="1" ht="12.75">
      <c r="A356" s="966" t="s">
        <v>1063</v>
      </c>
      <c r="B356" s="916" t="s">
        <v>725</v>
      </c>
      <c r="C356" s="917" t="s">
        <v>1045</v>
      </c>
      <c r="D356" s="919">
        <v>1000</v>
      </c>
      <c r="E356" s="919"/>
      <c r="F356" s="919"/>
      <c r="G356" s="921"/>
    </row>
    <row r="357" spans="1:7" s="938" customFormat="1" ht="13.5" thickBot="1">
      <c r="A357" s="966" t="s">
        <v>1064</v>
      </c>
      <c r="B357" s="916" t="s">
        <v>725</v>
      </c>
      <c r="C357" s="917" t="s">
        <v>1047</v>
      </c>
      <c r="D357" s="919">
        <v>18000</v>
      </c>
      <c r="E357" s="919"/>
      <c r="F357" s="919"/>
      <c r="G357" s="921"/>
    </row>
    <row r="358" spans="1:7" ht="13.5" thickBot="1">
      <c r="A358" s="922" t="s">
        <v>1284</v>
      </c>
      <c r="B358" s="923"/>
      <c r="C358" s="923"/>
      <c r="D358" s="923"/>
      <c r="E358" s="923"/>
      <c r="F358" s="924"/>
      <c r="G358" s="925">
        <f>SUM(G325:G354)</f>
        <v>1119920</v>
      </c>
    </row>
    <row r="361" ht="13.5" thickBot="1"/>
    <row r="362" spans="1:7" ht="13.5" thickBot="1">
      <c r="A362" s="899" t="s">
        <v>844</v>
      </c>
      <c r="B362" s="900"/>
      <c r="C362" s="900"/>
      <c r="D362" s="900"/>
      <c r="E362" s="900"/>
      <c r="F362" s="900"/>
      <c r="G362" s="901"/>
    </row>
    <row r="363" spans="1:7" ht="12.75">
      <c r="A363" s="903" t="s">
        <v>729</v>
      </c>
      <c r="B363" s="975" t="s">
        <v>1238</v>
      </c>
      <c r="C363" s="904" t="s">
        <v>730</v>
      </c>
      <c r="D363" s="905" t="s">
        <v>731</v>
      </c>
      <c r="E363" s="906" t="s">
        <v>585</v>
      </c>
      <c r="F363" s="905" t="s">
        <v>742</v>
      </c>
      <c r="G363" s="907" t="s">
        <v>732</v>
      </c>
    </row>
    <row r="364" spans="1:7" ht="12.75">
      <c r="A364" s="908" t="s">
        <v>845</v>
      </c>
      <c r="B364" s="909"/>
      <c r="C364" s="910" t="s">
        <v>846</v>
      </c>
      <c r="D364" s="913"/>
      <c r="E364" s="912">
        <f>E365</f>
        <v>5000</v>
      </c>
      <c r="F364" s="913"/>
      <c r="G364" s="914">
        <f>E364</f>
        <v>5000</v>
      </c>
    </row>
    <row r="365" spans="1:7" s="938" customFormat="1" ht="12.75">
      <c r="A365" s="915" t="s">
        <v>1065</v>
      </c>
      <c r="B365" s="916" t="s">
        <v>725</v>
      </c>
      <c r="C365" s="917" t="s">
        <v>930</v>
      </c>
      <c r="D365" s="920"/>
      <c r="E365" s="919">
        <v>5000</v>
      </c>
      <c r="F365" s="920"/>
      <c r="G365" s="921"/>
    </row>
    <row r="366" spans="1:7" ht="12.75">
      <c r="A366" s="908" t="s">
        <v>847</v>
      </c>
      <c r="B366" s="909"/>
      <c r="C366" s="910" t="s">
        <v>848</v>
      </c>
      <c r="D366" s="913"/>
      <c r="E366" s="912">
        <v>5000</v>
      </c>
      <c r="F366" s="913"/>
      <c r="G366" s="914">
        <f>E366</f>
        <v>5000</v>
      </c>
    </row>
    <row r="367" spans="1:7" s="938" customFormat="1" ht="12.75">
      <c r="A367" s="915" t="s">
        <v>1066</v>
      </c>
      <c r="B367" s="916" t="s">
        <v>725</v>
      </c>
      <c r="C367" s="917" t="s">
        <v>913</v>
      </c>
      <c r="D367" s="920"/>
      <c r="E367" s="919">
        <v>5000</v>
      </c>
      <c r="F367" s="920"/>
      <c r="G367" s="921"/>
    </row>
    <row r="368" spans="1:7" ht="12.75">
      <c r="A368" s="965" t="s">
        <v>849</v>
      </c>
      <c r="B368" s="909"/>
      <c r="C368" s="910" t="s">
        <v>850</v>
      </c>
      <c r="D368" s="913"/>
      <c r="E368" s="912">
        <f>SUM(E369:E375)</f>
        <v>318448.2</v>
      </c>
      <c r="F368" s="913"/>
      <c r="G368" s="914">
        <f>E368</f>
        <v>318448.2</v>
      </c>
    </row>
    <row r="369" spans="1:7" s="938" customFormat="1" ht="12.75">
      <c r="A369" s="966" t="s">
        <v>1067</v>
      </c>
      <c r="B369" s="916" t="s">
        <v>725</v>
      </c>
      <c r="C369" s="917" t="s">
        <v>885</v>
      </c>
      <c r="D369" s="920"/>
      <c r="E369" s="919">
        <v>210000</v>
      </c>
      <c r="F369" s="920"/>
      <c r="G369" s="921"/>
    </row>
    <row r="370" spans="1:7" s="938" customFormat="1" ht="12.75">
      <c r="A370" s="966" t="s">
        <v>1345</v>
      </c>
      <c r="B370" s="916"/>
      <c r="C370" s="917"/>
      <c r="D370" s="920"/>
      <c r="E370" s="919">
        <v>13000</v>
      </c>
      <c r="F370" s="920"/>
      <c r="G370" s="921"/>
    </row>
    <row r="371" spans="1:7" s="938" customFormat="1" ht="12.75">
      <c r="A371" s="966" t="s">
        <v>1346</v>
      </c>
      <c r="B371" s="916"/>
      <c r="C371" s="917"/>
      <c r="D371" s="920"/>
      <c r="E371" s="919">
        <v>39000</v>
      </c>
      <c r="F371" s="920"/>
      <c r="G371" s="921"/>
    </row>
    <row r="372" spans="1:7" s="938" customFormat="1" ht="12.75">
      <c r="A372" s="966" t="s">
        <v>1068</v>
      </c>
      <c r="B372" s="916" t="s">
        <v>725</v>
      </c>
      <c r="C372" s="917" t="s">
        <v>921</v>
      </c>
      <c r="D372" s="920"/>
      <c r="E372" s="919">
        <v>500</v>
      </c>
      <c r="F372" s="920"/>
      <c r="G372" s="921"/>
    </row>
    <row r="373" spans="1:7" s="938" customFormat="1" ht="12.75">
      <c r="A373" s="966" t="s">
        <v>1070</v>
      </c>
      <c r="B373" s="916" t="s">
        <v>725</v>
      </c>
      <c r="C373" s="917" t="s">
        <v>935</v>
      </c>
      <c r="D373" s="920"/>
      <c r="E373" s="919">
        <v>25000</v>
      </c>
      <c r="F373" s="920"/>
      <c r="G373" s="921"/>
    </row>
    <row r="374" spans="1:7" s="938" customFormat="1" ht="12.75">
      <c r="A374" s="966" t="s">
        <v>1069</v>
      </c>
      <c r="B374" s="916" t="s">
        <v>725</v>
      </c>
      <c r="C374" s="917" t="s">
        <v>945</v>
      </c>
      <c r="D374" s="920"/>
      <c r="E374" s="919">
        <v>500</v>
      </c>
      <c r="F374" s="920"/>
      <c r="G374" s="921"/>
    </row>
    <row r="375" spans="1:7" s="938" customFormat="1" ht="12.75">
      <c r="A375" s="966" t="s">
        <v>1072</v>
      </c>
      <c r="B375" s="916" t="s">
        <v>725</v>
      </c>
      <c r="C375" s="917" t="s">
        <v>1078</v>
      </c>
      <c r="D375" s="920"/>
      <c r="E375" s="919">
        <v>30448.2</v>
      </c>
      <c r="F375" s="920"/>
      <c r="G375" s="921"/>
    </row>
    <row r="376" spans="1:7" ht="12.75">
      <c r="A376" s="965" t="s">
        <v>1073</v>
      </c>
      <c r="B376" s="909"/>
      <c r="C376" s="910" t="s">
        <v>851</v>
      </c>
      <c r="D376" s="912">
        <v>190000</v>
      </c>
      <c r="E376" s="912"/>
      <c r="F376" s="912"/>
      <c r="G376" s="914">
        <f>D376+E376+F376</f>
        <v>190000</v>
      </c>
    </row>
    <row r="377" spans="1:7" s="938" customFormat="1" ht="12.75">
      <c r="A377" s="966" t="s">
        <v>1074</v>
      </c>
      <c r="B377" s="916" t="s">
        <v>725</v>
      </c>
      <c r="C377" s="917" t="s">
        <v>935</v>
      </c>
      <c r="D377" s="919">
        <v>10000</v>
      </c>
      <c r="E377" s="919"/>
      <c r="F377" s="919"/>
      <c r="G377" s="921"/>
    </row>
    <row r="378" spans="1:7" s="938" customFormat="1" ht="12.75">
      <c r="A378" s="966" t="s">
        <v>1075</v>
      </c>
      <c r="B378" s="916" t="s">
        <v>725</v>
      </c>
      <c r="C378" s="917" t="s">
        <v>945</v>
      </c>
      <c r="D378" s="919">
        <v>10000</v>
      </c>
      <c r="E378" s="919"/>
      <c r="F378" s="919"/>
      <c r="G378" s="921"/>
    </row>
    <row r="379" spans="1:7" s="938" customFormat="1" ht="12.75">
      <c r="A379" s="966" t="s">
        <v>1076</v>
      </c>
      <c r="B379" s="916" t="s">
        <v>725</v>
      </c>
      <c r="C379" s="917" t="s">
        <v>1071</v>
      </c>
      <c r="D379" s="919">
        <v>50000</v>
      </c>
      <c r="E379" s="919"/>
      <c r="F379" s="919"/>
      <c r="G379" s="921"/>
    </row>
    <row r="380" spans="1:7" s="938" customFormat="1" ht="13.5" thickBot="1">
      <c r="A380" s="966" t="s">
        <v>1077</v>
      </c>
      <c r="B380" s="916" t="s">
        <v>725</v>
      </c>
      <c r="C380" s="917" t="s">
        <v>913</v>
      </c>
      <c r="D380" s="919">
        <v>120000</v>
      </c>
      <c r="E380" s="919"/>
      <c r="F380" s="919"/>
      <c r="G380" s="921"/>
    </row>
    <row r="381" spans="1:7" ht="13.5" thickBot="1">
      <c r="A381" s="922" t="s">
        <v>1284</v>
      </c>
      <c r="B381" s="923"/>
      <c r="C381" s="923"/>
      <c r="D381" s="923"/>
      <c r="E381" s="923"/>
      <c r="F381" s="924"/>
      <c r="G381" s="925">
        <f>SUM(G364:G376)</f>
        <v>518448.2</v>
      </c>
    </row>
    <row r="383" ht="13.5" thickBot="1"/>
    <row r="384" spans="1:7" ht="13.5" thickBot="1">
      <c r="A384" s="899" t="s">
        <v>852</v>
      </c>
      <c r="B384" s="900"/>
      <c r="C384" s="900"/>
      <c r="D384" s="900"/>
      <c r="E384" s="900"/>
      <c r="F384" s="900"/>
      <c r="G384" s="901"/>
    </row>
    <row r="385" spans="1:7" ht="12.75">
      <c r="A385" s="903" t="s">
        <v>729</v>
      </c>
      <c r="B385" s="975" t="s">
        <v>1238</v>
      </c>
      <c r="C385" s="904" t="s">
        <v>730</v>
      </c>
      <c r="D385" s="905" t="s">
        <v>731</v>
      </c>
      <c r="E385" s="906" t="s">
        <v>585</v>
      </c>
      <c r="F385" s="905" t="s">
        <v>742</v>
      </c>
      <c r="G385" s="907" t="s">
        <v>732</v>
      </c>
    </row>
    <row r="386" spans="1:7" ht="12.75">
      <c r="A386" s="908" t="s">
        <v>1386</v>
      </c>
      <c r="B386" s="909"/>
      <c r="C386" s="910" t="s">
        <v>853</v>
      </c>
      <c r="D386" s="912">
        <f>SUM(D390:D392)</f>
        <v>79000</v>
      </c>
      <c r="E386" s="912">
        <f>SUM(E387:E390)</f>
        <v>153000</v>
      </c>
      <c r="F386" s="912"/>
      <c r="G386" s="914">
        <f>E386+F386+D386</f>
        <v>232000</v>
      </c>
    </row>
    <row r="387" spans="1:7" s="938" customFormat="1" ht="12.75">
      <c r="A387" s="915" t="s">
        <v>1387</v>
      </c>
      <c r="B387" s="916" t="s">
        <v>725</v>
      </c>
      <c r="C387" s="917" t="s">
        <v>935</v>
      </c>
      <c r="D387" s="919"/>
      <c r="E387" s="919">
        <v>3000</v>
      </c>
      <c r="F387" s="919"/>
      <c r="G387" s="921"/>
    </row>
    <row r="388" spans="1:7" s="938" customFormat="1" ht="12.75">
      <c r="A388" s="915" t="s">
        <v>1387</v>
      </c>
      <c r="B388" s="916" t="s">
        <v>1270</v>
      </c>
      <c r="C388" s="917" t="s">
        <v>935</v>
      </c>
      <c r="D388" s="919"/>
      <c r="E388" s="919">
        <v>30000</v>
      </c>
      <c r="F388" s="919"/>
      <c r="G388" s="921"/>
    </row>
    <row r="389" spans="1:7" s="938" customFormat="1" ht="12.75">
      <c r="A389" s="915" t="s">
        <v>1388</v>
      </c>
      <c r="B389" s="916" t="s">
        <v>1270</v>
      </c>
      <c r="C389" s="917" t="s">
        <v>1079</v>
      </c>
      <c r="D389" s="919"/>
      <c r="E389" s="919">
        <v>40000</v>
      </c>
      <c r="F389" s="919"/>
      <c r="G389" s="921"/>
    </row>
    <row r="390" spans="1:7" s="938" customFormat="1" ht="12.75">
      <c r="A390" s="915" t="s">
        <v>1389</v>
      </c>
      <c r="B390" s="916" t="s">
        <v>1270</v>
      </c>
      <c r="C390" s="917" t="s">
        <v>1078</v>
      </c>
      <c r="D390" s="919">
        <v>4000</v>
      </c>
      <c r="E390" s="919">
        <v>80000</v>
      </c>
      <c r="F390" s="919"/>
      <c r="G390" s="921"/>
    </row>
    <row r="391" spans="1:7" s="938" customFormat="1" ht="12.75">
      <c r="A391" s="915" t="s">
        <v>1390</v>
      </c>
      <c r="B391" s="916" t="s">
        <v>725</v>
      </c>
      <c r="C391" s="917" t="s">
        <v>930</v>
      </c>
      <c r="D391" s="919">
        <v>35000</v>
      </c>
      <c r="E391" s="919"/>
      <c r="F391" s="919"/>
      <c r="G391" s="921"/>
    </row>
    <row r="392" spans="1:7" s="938" customFormat="1" ht="12.75">
      <c r="A392" s="915" t="s">
        <v>1391</v>
      </c>
      <c r="B392" s="916" t="s">
        <v>1270</v>
      </c>
      <c r="C392" s="917" t="s">
        <v>913</v>
      </c>
      <c r="D392" s="919">
        <v>40000</v>
      </c>
      <c r="E392" s="919"/>
      <c r="F392" s="919"/>
      <c r="G392" s="921"/>
    </row>
    <row r="393" spans="1:7" ht="12.75">
      <c r="A393" s="908" t="s">
        <v>854</v>
      </c>
      <c r="B393" s="909"/>
      <c r="C393" s="910" t="s">
        <v>855</v>
      </c>
      <c r="D393" s="912"/>
      <c r="E393" s="912">
        <v>3000</v>
      </c>
      <c r="F393" s="912"/>
      <c r="G393" s="914">
        <f>E393+F393+D393</f>
        <v>3000</v>
      </c>
    </row>
    <row r="394" spans="1:7" s="938" customFormat="1" ht="12.75">
      <c r="A394" s="915" t="s">
        <v>1271</v>
      </c>
      <c r="B394" s="916" t="s">
        <v>725</v>
      </c>
      <c r="C394" s="917" t="s">
        <v>935</v>
      </c>
      <c r="D394" s="919"/>
      <c r="E394" s="919">
        <v>1500</v>
      </c>
      <c r="F394" s="919"/>
      <c r="G394" s="921"/>
    </row>
    <row r="395" spans="1:7" s="938" customFormat="1" ht="12.75">
      <c r="A395" s="915" t="s">
        <v>1272</v>
      </c>
      <c r="B395" s="916" t="s">
        <v>725</v>
      </c>
      <c r="C395" s="917" t="s">
        <v>1080</v>
      </c>
      <c r="D395" s="919"/>
      <c r="E395" s="919">
        <v>1500</v>
      </c>
      <c r="F395" s="919"/>
      <c r="G395" s="921"/>
    </row>
    <row r="396" spans="1:7" ht="12.75">
      <c r="A396" s="965" t="s">
        <v>856</v>
      </c>
      <c r="B396" s="909"/>
      <c r="C396" s="910" t="s">
        <v>857</v>
      </c>
      <c r="D396" s="912"/>
      <c r="E396" s="912">
        <f>SUM(E397:E400)</f>
        <v>197000</v>
      </c>
      <c r="F396" s="912"/>
      <c r="G396" s="914">
        <f>E396+F396+D396</f>
        <v>197000</v>
      </c>
    </row>
    <row r="397" spans="1:7" s="938" customFormat="1" ht="12.75">
      <c r="A397" s="966" t="s">
        <v>1081</v>
      </c>
      <c r="B397" s="916" t="s">
        <v>725</v>
      </c>
      <c r="C397" s="917" t="s">
        <v>885</v>
      </c>
      <c r="D397" s="919"/>
      <c r="E397" s="919">
        <v>160000</v>
      </c>
      <c r="F397" s="919"/>
      <c r="G397" s="921"/>
    </row>
    <row r="398" spans="1:7" s="938" customFormat="1" ht="12.75">
      <c r="A398" s="966" t="s">
        <v>1347</v>
      </c>
      <c r="B398" s="916" t="s">
        <v>725</v>
      </c>
      <c r="C398" s="917" t="s">
        <v>1239</v>
      </c>
      <c r="D398" s="919"/>
      <c r="E398" s="919">
        <v>27000</v>
      </c>
      <c r="F398" s="919"/>
      <c r="G398" s="921"/>
    </row>
    <row r="399" spans="1:7" s="938" customFormat="1" ht="12.75">
      <c r="A399" s="966" t="s">
        <v>1082</v>
      </c>
      <c r="B399" s="916" t="s">
        <v>725</v>
      </c>
      <c r="C399" s="917" t="s">
        <v>935</v>
      </c>
      <c r="D399" s="919"/>
      <c r="E399" s="919">
        <v>5000</v>
      </c>
      <c r="F399" s="919"/>
      <c r="G399" s="921"/>
    </row>
    <row r="400" spans="1:7" s="938" customFormat="1" ht="12.75">
      <c r="A400" s="966" t="s">
        <v>1083</v>
      </c>
      <c r="B400" s="916" t="s">
        <v>725</v>
      </c>
      <c r="C400" s="917" t="s">
        <v>1080</v>
      </c>
      <c r="D400" s="919"/>
      <c r="E400" s="919">
        <v>5000</v>
      </c>
      <c r="F400" s="919"/>
      <c r="G400" s="921"/>
    </row>
    <row r="401" spans="1:7" ht="12.75">
      <c r="A401" s="965" t="s">
        <v>858</v>
      </c>
      <c r="B401" s="909"/>
      <c r="C401" s="910" t="s">
        <v>848</v>
      </c>
      <c r="D401" s="912"/>
      <c r="E401" s="912">
        <v>5000</v>
      </c>
      <c r="F401" s="912"/>
      <c r="G401" s="914">
        <f>E401+F401+D401</f>
        <v>5000</v>
      </c>
    </row>
    <row r="402" spans="1:7" s="938" customFormat="1" ht="12.75">
      <c r="A402" s="966" t="s">
        <v>1084</v>
      </c>
      <c r="B402" s="916" t="s">
        <v>725</v>
      </c>
      <c r="C402" s="917" t="s">
        <v>913</v>
      </c>
      <c r="D402" s="919"/>
      <c r="E402" s="919">
        <v>5000</v>
      </c>
      <c r="F402" s="919"/>
      <c r="G402" s="921"/>
    </row>
    <row r="403" spans="1:7" ht="12.75">
      <c r="A403" s="965" t="s">
        <v>859</v>
      </c>
      <c r="B403" s="909"/>
      <c r="C403" s="910" t="s">
        <v>831</v>
      </c>
      <c r="D403" s="912"/>
      <c r="E403" s="912">
        <f>SUM(E404:E411)</f>
        <v>1318000</v>
      </c>
      <c r="F403" s="912"/>
      <c r="G403" s="914">
        <f>E403+F403+D403</f>
        <v>1318000</v>
      </c>
    </row>
    <row r="404" spans="1:7" s="938" customFormat="1" ht="12.75">
      <c r="A404" s="966" t="s">
        <v>1085</v>
      </c>
      <c r="B404" s="916" t="s">
        <v>725</v>
      </c>
      <c r="C404" s="917" t="s">
        <v>885</v>
      </c>
      <c r="D404" s="919"/>
      <c r="E404" s="919">
        <v>855000</v>
      </c>
      <c r="F404" s="919"/>
      <c r="G404" s="921"/>
    </row>
    <row r="405" spans="1:7" s="938" customFormat="1" ht="12.75">
      <c r="A405" s="966" t="s">
        <v>1383</v>
      </c>
      <c r="B405" s="916" t="s">
        <v>725</v>
      </c>
      <c r="C405" s="917" t="s">
        <v>1239</v>
      </c>
      <c r="D405" s="919"/>
      <c r="E405" s="919">
        <v>89000</v>
      </c>
      <c r="F405" s="919"/>
      <c r="G405" s="921"/>
    </row>
    <row r="406" spans="1:7" s="938" customFormat="1" ht="12.75">
      <c r="A406" s="966" t="s">
        <v>1384</v>
      </c>
      <c r="B406" s="916" t="s">
        <v>725</v>
      </c>
      <c r="C406" s="917" t="s">
        <v>1239</v>
      </c>
      <c r="D406" s="919"/>
      <c r="E406" s="919">
        <v>163000</v>
      </c>
      <c r="F406" s="919"/>
      <c r="G406" s="921"/>
    </row>
    <row r="407" spans="1:8" s="938" customFormat="1" ht="12.75">
      <c r="A407" s="966" t="s">
        <v>1086</v>
      </c>
      <c r="B407" s="916" t="s">
        <v>725</v>
      </c>
      <c r="C407" s="917" t="s">
        <v>935</v>
      </c>
      <c r="D407" s="919"/>
      <c r="E407" s="919">
        <v>70000</v>
      </c>
      <c r="F407" s="919"/>
      <c r="G407" s="921"/>
      <c r="H407" s="939"/>
    </row>
    <row r="408" spans="1:7" s="938" customFormat="1" ht="12.75">
      <c r="A408" s="966" t="s">
        <v>1089</v>
      </c>
      <c r="B408" s="916" t="s">
        <v>725</v>
      </c>
      <c r="C408" s="917" t="s">
        <v>886</v>
      </c>
      <c r="D408" s="919"/>
      <c r="E408" s="919">
        <v>500</v>
      </c>
      <c r="F408" s="919"/>
      <c r="G408" s="921"/>
    </row>
    <row r="409" spans="1:7" s="938" customFormat="1" ht="12.75">
      <c r="A409" s="966" t="s">
        <v>1087</v>
      </c>
      <c r="B409" s="916" t="s">
        <v>725</v>
      </c>
      <c r="C409" s="917" t="s">
        <v>1079</v>
      </c>
      <c r="D409" s="919"/>
      <c r="E409" s="919">
        <v>500</v>
      </c>
      <c r="F409" s="919"/>
      <c r="G409" s="921"/>
    </row>
    <row r="410" spans="1:7" s="938" customFormat="1" ht="12.75">
      <c r="A410" s="966" t="s">
        <v>1088</v>
      </c>
      <c r="B410" s="916" t="s">
        <v>725</v>
      </c>
      <c r="C410" s="917" t="s">
        <v>1080</v>
      </c>
      <c r="D410" s="919"/>
      <c r="E410" s="919">
        <v>90000</v>
      </c>
      <c r="F410" s="919"/>
      <c r="G410" s="921"/>
    </row>
    <row r="411" spans="1:7" s="938" customFormat="1" ht="12.75">
      <c r="A411" s="966" t="s">
        <v>1090</v>
      </c>
      <c r="B411" s="916" t="s">
        <v>725</v>
      </c>
      <c r="C411" s="917" t="s">
        <v>1091</v>
      </c>
      <c r="D411" s="919"/>
      <c r="E411" s="919">
        <v>50000</v>
      </c>
      <c r="F411" s="919"/>
      <c r="G411" s="921"/>
    </row>
    <row r="412" spans="1:7" ht="12.75">
      <c r="A412" s="965" t="s">
        <v>860</v>
      </c>
      <c r="B412" s="909"/>
      <c r="C412" s="910" t="s">
        <v>861</v>
      </c>
      <c r="D412" s="912"/>
      <c r="E412" s="912">
        <v>5000</v>
      </c>
      <c r="F412" s="912"/>
      <c r="G412" s="914">
        <f>E412+F412+D412</f>
        <v>5000</v>
      </c>
    </row>
    <row r="413" spans="1:7" s="938" customFormat="1" ht="12.75">
      <c r="A413" s="966" t="s">
        <v>1092</v>
      </c>
      <c r="B413" s="916" t="s">
        <v>1273</v>
      </c>
      <c r="C413" s="917" t="s">
        <v>913</v>
      </c>
      <c r="D413" s="919"/>
      <c r="E413" s="919">
        <v>5000</v>
      </c>
      <c r="F413" s="919"/>
      <c r="G413" s="921"/>
    </row>
    <row r="414" spans="1:7" s="948" customFormat="1" ht="12.75">
      <c r="A414" s="980" t="s">
        <v>1396</v>
      </c>
      <c r="B414" s="942"/>
      <c r="C414" s="943" t="s">
        <v>1093</v>
      </c>
      <c r="D414" s="945"/>
      <c r="E414" s="945">
        <v>1500</v>
      </c>
      <c r="F414" s="945"/>
      <c r="G414" s="946">
        <f>E414</f>
        <v>1500</v>
      </c>
    </row>
    <row r="415" spans="1:7" s="938" customFormat="1" ht="12.75">
      <c r="A415" s="966" t="s">
        <v>1397</v>
      </c>
      <c r="B415" s="916" t="s">
        <v>725</v>
      </c>
      <c r="C415" s="917" t="s">
        <v>935</v>
      </c>
      <c r="D415" s="919"/>
      <c r="E415" s="919">
        <v>750</v>
      </c>
      <c r="F415" s="919"/>
      <c r="G415" s="921"/>
    </row>
    <row r="416" spans="1:7" s="938" customFormat="1" ht="12.75">
      <c r="A416" s="966" t="s">
        <v>1398</v>
      </c>
      <c r="B416" s="916" t="s">
        <v>725</v>
      </c>
      <c r="C416" s="917" t="s">
        <v>999</v>
      </c>
      <c r="D416" s="919"/>
      <c r="E416" s="919">
        <v>750</v>
      </c>
      <c r="F416" s="919"/>
      <c r="G416" s="921"/>
    </row>
    <row r="417" spans="1:7" ht="12.75">
      <c r="A417" s="965" t="s">
        <v>1392</v>
      </c>
      <c r="B417" s="909"/>
      <c r="C417" s="910" t="s">
        <v>1274</v>
      </c>
      <c r="D417" s="912"/>
      <c r="E417" s="912">
        <v>48500</v>
      </c>
      <c r="F417" s="912"/>
      <c r="G417" s="914">
        <f>E417+F417+D417</f>
        <v>48500</v>
      </c>
    </row>
    <row r="418" spans="1:7" s="938" customFormat="1" ht="12.75">
      <c r="A418" s="966" t="s">
        <v>1393</v>
      </c>
      <c r="B418" s="916" t="s">
        <v>1276</v>
      </c>
      <c r="C418" s="917" t="s">
        <v>935</v>
      </c>
      <c r="D418" s="919"/>
      <c r="E418" s="919">
        <v>15000</v>
      </c>
      <c r="F418" s="919"/>
      <c r="G418" s="921"/>
    </row>
    <row r="419" spans="1:7" s="938" customFormat="1" ht="12.75">
      <c r="A419" s="966" t="s">
        <v>1394</v>
      </c>
      <c r="B419" s="916" t="s">
        <v>1276</v>
      </c>
      <c r="C419" s="917" t="s">
        <v>999</v>
      </c>
      <c r="D419" s="919"/>
      <c r="E419" s="919">
        <v>25000</v>
      </c>
      <c r="F419" s="919"/>
      <c r="G419" s="921"/>
    </row>
    <row r="420" spans="1:7" s="938" customFormat="1" ht="12.75">
      <c r="A420" s="966" t="s">
        <v>1395</v>
      </c>
      <c r="B420" s="916" t="s">
        <v>1276</v>
      </c>
      <c r="C420" s="917" t="s">
        <v>913</v>
      </c>
      <c r="D420" s="919"/>
      <c r="E420" s="919">
        <v>8500</v>
      </c>
      <c r="F420" s="919"/>
      <c r="G420" s="921"/>
    </row>
    <row r="421" spans="1:7" s="937" customFormat="1" ht="12.75">
      <c r="A421" s="965" t="s">
        <v>1399</v>
      </c>
      <c r="B421" s="909"/>
      <c r="C421" s="910" t="s">
        <v>1275</v>
      </c>
      <c r="D421" s="912"/>
      <c r="E421" s="912">
        <f>SUM(E422:E424)</f>
        <v>30000</v>
      </c>
      <c r="F421" s="912"/>
      <c r="G421" s="914">
        <f>E421</f>
        <v>30000</v>
      </c>
    </row>
    <row r="422" spans="1:7" s="938" customFormat="1" ht="12.75">
      <c r="A422" s="966" t="s">
        <v>1400</v>
      </c>
      <c r="B422" s="916" t="s">
        <v>1277</v>
      </c>
      <c r="C422" s="917" t="s">
        <v>935</v>
      </c>
      <c r="D422" s="919"/>
      <c r="E422" s="919">
        <v>10000</v>
      </c>
      <c r="F422" s="919"/>
      <c r="G422" s="921"/>
    </row>
    <row r="423" spans="1:7" s="938" customFormat="1" ht="12.75">
      <c r="A423" s="966" t="s">
        <v>1401</v>
      </c>
      <c r="B423" s="916" t="s">
        <v>1277</v>
      </c>
      <c r="C423" s="917" t="s">
        <v>1078</v>
      </c>
      <c r="D423" s="919"/>
      <c r="E423" s="919">
        <v>10000</v>
      </c>
      <c r="F423" s="919"/>
      <c r="G423" s="921"/>
    </row>
    <row r="424" spans="1:7" s="938" customFormat="1" ht="12.75">
      <c r="A424" s="966" t="s">
        <v>1402</v>
      </c>
      <c r="B424" s="916" t="s">
        <v>1277</v>
      </c>
      <c r="C424" s="917" t="s">
        <v>913</v>
      </c>
      <c r="D424" s="919"/>
      <c r="E424" s="919">
        <v>10000</v>
      </c>
      <c r="F424" s="919"/>
      <c r="G424" s="921"/>
    </row>
    <row r="425" spans="1:7" ht="12.75">
      <c r="A425" s="965" t="s">
        <v>1403</v>
      </c>
      <c r="B425" s="909"/>
      <c r="C425" s="910" t="s">
        <v>862</v>
      </c>
      <c r="D425" s="912"/>
      <c r="E425" s="912">
        <f>SUM(E426:E429)</f>
        <v>54000</v>
      </c>
      <c r="F425" s="912"/>
      <c r="G425" s="914">
        <f>E425+F425+D425</f>
        <v>54000</v>
      </c>
    </row>
    <row r="426" spans="1:7" s="938" customFormat="1" ht="12.75">
      <c r="A426" s="966" t="s">
        <v>1404</v>
      </c>
      <c r="B426" s="916" t="s">
        <v>725</v>
      </c>
      <c r="C426" s="917" t="s">
        <v>935</v>
      </c>
      <c r="D426" s="919"/>
      <c r="E426" s="919">
        <v>3000</v>
      </c>
      <c r="F426" s="919"/>
      <c r="G426" s="921"/>
    </row>
    <row r="427" spans="1:7" s="938" customFormat="1" ht="12.75">
      <c r="A427" s="966" t="s">
        <v>1404</v>
      </c>
      <c r="B427" s="916" t="s">
        <v>1278</v>
      </c>
      <c r="C427" s="917" t="s">
        <v>935</v>
      </c>
      <c r="D427" s="919"/>
      <c r="E427" s="919">
        <v>20000</v>
      </c>
      <c r="F427" s="919"/>
      <c r="G427" s="921"/>
    </row>
    <row r="428" spans="1:7" s="938" customFormat="1" ht="12.75">
      <c r="A428" s="966" t="s">
        <v>1405</v>
      </c>
      <c r="B428" s="916" t="s">
        <v>1278</v>
      </c>
      <c r="C428" s="917" t="s">
        <v>1079</v>
      </c>
      <c r="D428" s="919"/>
      <c r="E428" s="919">
        <v>1000</v>
      </c>
      <c r="F428" s="919"/>
      <c r="G428" s="921"/>
    </row>
    <row r="429" spans="1:7" s="938" customFormat="1" ht="12.75">
      <c r="A429" s="966" t="s">
        <v>1406</v>
      </c>
      <c r="B429" s="916" t="s">
        <v>1278</v>
      </c>
      <c r="C429" s="917" t="s">
        <v>1078</v>
      </c>
      <c r="D429" s="919"/>
      <c r="E429" s="919">
        <v>30000</v>
      </c>
      <c r="F429" s="919"/>
      <c r="G429" s="921"/>
    </row>
    <row r="430" spans="1:7" ht="12.75">
      <c r="A430" s="965" t="s">
        <v>1407</v>
      </c>
      <c r="B430" s="909"/>
      <c r="C430" s="910" t="s">
        <v>863</v>
      </c>
      <c r="D430" s="912"/>
      <c r="E430" s="912">
        <v>70000</v>
      </c>
      <c r="F430" s="912"/>
      <c r="G430" s="914">
        <f>E430+F430+D430</f>
        <v>70000</v>
      </c>
    </row>
    <row r="431" spans="1:7" s="938" customFormat="1" ht="12.75">
      <c r="A431" s="966" t="s">
        <v>1408</v>
      </c>
      <c r="B431" s="916" t="s">
        <v>725</v>
      </c>
      <c r="C431" s="917" t="s">
        <v>935</v>
      </c>
      <c r="D431" s="919"/>
      <c r="E431" s="919">
        <v>10000</v>
      </c>
      <c r="F431" s="919"/>
      <c r="G431" s="921"/>
    </row>
    <row r="432" spans="1:7" s="938" customFormat="1" ht="12.75">
      <c r="A432" s="966" t="s">
        <v>1408</v>
      </c>
      <c r="B432" s="916" t="s">
        <v>1279</v>
      </c>
      <c r="C432" s="917" t="s">
        <v>935</v>
      </c>
      <c r="D432" s="919"/>
      <c r="E432" s="919">
        <v>30000</v>
      </c>
      <c r="F432" s="919"/>
      <c r="G432" s="921"/>
    </row>
    <row r="433" spans="1:7" s="938" customFormat="1" ht="12.75">
      <c r="A433" s="966" t="s">
        <v>1409</v>
      </c>
      <c r="B433" s="916" t="s">
        <v>1279</v>
      </c>
      <c r="C433" s="917" t="s">
        <v>1079</v>
      </c>
      <c r="D433" s="919"/>
      <c r="E433" s="919">
        <v>15000</v>
      </c>
      <c r="F433" s="919"/>
      <c r="G433" s="921"/>
    </row>
    <row r="434" spans="1:7" s="938" customFormat="1" ht="12.75">
      <c r="A434" s="966" t="s">
        <v>1410</v>
      </c>
      <c r="B434" s="916" t="s">
        <v>1279</v>
      </c>
      <c r="C434" s="917" t="s">
        <v>1078</v>
      </c>
      <c r="D434" s="919"/>
      <c r="E434" s="919">
        <v>15000</v>
      </c>
      <c r="F434" s="919"/>
      <c r="G434" s="921"/>
    </row>
    <row r="435" spans="1:7" ht="12.75">
      <c r="A435" s="965" t="s">
        <v>865</v>
      </c>
      <c r="B435" s="909"/>
      <c r="C435" s="910" t="s">
        <v>864</v>
      </c>
      <c r="D435" s="912"/>
      <c r="E435" s="912">
        <f>SUM(E436:E439)</f>
        <v>64000</v>
      </c>
      <c r="F435" s="912"/>
      <c r="G435" s="914">
        <f>E435+F435+D435</f>
        <v>64000</v>
      </c>
    </row>
    <row r="436" spans="1:7" s="938" customFormat="1" ht="12.75">
      <c r="A436" s="966" t="s">
        <v>1094</v>
      </c>
      <c r="B436" s="916" t="s">
        <v>1280</v>
      </c>
      <c r="C436" s="917" t="s">
        <v>935</v>
      </c>
      <c r="D436" s="919"/>
      <c r="E436" s="919">
        <v>3000</v>
      </c>
      <c r="F436" s="919"/>
      <c r="G436" s="921"/>
    </row>
    <row r="437" spans="1:7" s="938" customFormat="1" ht="12.75">
      <c r="A437" s="966" t="s">
        <v>1094</v>
      </c>
      <c r="B437" s="916" t="s">
        <v>1280</v>
      </c>
      <c r="C437" s="917" t="s">
        <v>935</v>
      </c>
      <c r="D437" s="919"/>
      <c r="E437" s="919">
        <v>40000</v>
      </c>
      <c r="F437" s="919"/>
      <c r="G437" s="921"/>
    </row>
    <row r="438" spans="1:7" s="938" customFormat="1" ht="12.75">
      <c r="A438" s="966" t="s">
        <v>1095</v>
      </c>
      <c r="B438" s="916" t="s">
        <v>1280</v>
      </c>
      <c r="C438" s="917" t="s">
        <v>1079</v>
      </c>
      <c r="D438" s="919"/>
      <c r="E438" s="919">
        <v>1000</v>
      </c>
      <c r="F438" s="919"/>
      <c r="G438" s="921"/>
    </row>
    <row r="439" spans="1:7" s="938" customFormat="1" ht="12.75">
      <c r="A439" s="966" t="s">
        <v>1096</v>
      </c>
      <c r="B439" s="916" t="s">
        <v>1280</v>
      </c>
      <c r="C439" s="917" t="s">
        <v>1078</v>
      </c>
      <c r="D439" s="919"/>
      <c r="E439" s="919">
        <v>20000</v>
      </c>
      <c r="F439" s="919"/>
      <c r="G439" s="921"/>
    </row>
    <row r="440" spans="1:7" ht="12.75">
      <c r="A440" s="965" t="s">
        <v>866</v>
      </c>
      <c r="B440" s="909"/>
      <c r="C440" s="910" t="s">
        <v>867</v>
      </c>
      <c r="D440" s="912">
        <v>10000</v>
      </c>
      <c r="E440" s="912">
        <v>20000</v>
      </c>
      <c r="F440" s="912"/>
      <c r="G440" s="914">
        <f>E440+F440+D440</f>
        <v>30000</v>
      </c>
    </row>
    <row r="441" spans="1:7" s="938" customFormat="1" ht="12.75">
      <c r="A441" s="966" t="s">
        <v>1097</v>
      </c>
      <c r="B441" s="916" t="s">
        <v>725</v>
      </c>
      <c r="C441" s="917" t="s">
        <v>935</v>
      </c>
      <c r="D441" s="919"/>
      <c r="E441" s="919">
        <v>10000</v>
      </c>
      <c r="F441" s="919"/>
      <c r="G441" s="921"/>
    </row>
    <row r="442" spans="1:7" s="938" customFormat="1" ht="12.75">
      <c r="A442" s="966" t="s">
        <v>1098</v>
      </c>
      <c r="B442" s="916" t="s">
        <v>725</v>
      </c>
      <c r="C442" s="917" t="s">
        <v>999</v>
      </c>
      <c r="D442" s="919"/>
      <c r="E442" s="919">
        <v>10000</v>
      </c>
      <c r="F442" s="919"/>
      <c r="G442" s="921"/>
    </row>
    <row r="443" spans="1:7" s="938" customFormat="1" ht="12.75">
      <c r="A443" s="966" t="s">
        <v>1099</v>
      </c>
      <c r="B443" s="916" t="s">
        <v>725</v>
      </c>
      <c r="C443" s="917" t="s">
        <v>930</v>
      </c>
      <c r="D443" s="919">
        <v>10000</v>
      </c>
      <c r="E443" s="919"/>
      <c r="F443" s="919"/>
      <c r="G443" s="921"/>
    </row>
    <row r="444" spans="1:7" ht="12.75">
      <c r="A444" s="965" t="s">
        <v>868</v>
      </c>
      <c r="B444" s="909"/>
      <c r="C444" s="910" t="s">
        <v>869</v>
      </c>
      <c r="D444" s="912"/>
      <c r="E444" s="912">
        <f>SUM(E445:E447)</f>
        <v>45000</v>
      </c>
      <c r="F444" s="912"/>
      <c r="G444" s="914">
        <f>D444+E444+F444</f>
        <v>45000</v>
      </c>
    </row>
    <row r="445" spans="1:7" s="938" customFormat="1" ht="12.75">
      <c r="A445" s="966" t="s">
        <v>1100</v>
      </c>
      <c r="B445" s="916" t="s">
        <v>725</v>
      </c>
      <c r="C445" s="917" t="s">
        <v>1103</v>
      </c>
      <c r="D445" s="919"/>
      <c r="E445" s="919">
        <v>30000</v>
      </c>
      <c r="F445" s="919"/>
      <c r="G445" s="921"/>
    </row>
    <row r="446" spans="1:7" s="938" customFormat="1" ht="12.75">
      <c r="A446" s="966" t="s">
        <v>1101</v>
      </c>
      <c r="B446" s="916" t="s">
        <v>725</v>
      </c>
      <c r="C446" s="917" t="s">
        <v>999</v>
      </c>
      <c r="D446" s="919"/>
      <c r="E446" s="919">
        <v>5000</v>
      </c>
      <c r="F446" s="919"/>
      <c r="G446" s="921"/>
    </row>
    <row r="447" spans="1:7" s="938" customFormat="1" ht="12.75">
      <c r="A447" s="966" t="s">
        <v>1102</v>
      </c>
      <c r="B447" s="916" t="s">
        <v>725</v>
      </c>
      <c r="C447" s="917" t="s">
        <v>930</v>
      </c>
      <c r="D447" s="919"/>
      <c r="E447" s="919">
        <v>10000</v>
      </c>
      <c r="F447" s="919"/>
      <c r="G447" s="921"/>
    </row>
    <row r="448" spans="1:7" ht="12.75">
      <c r="A448" s="965" t="s">
        <v>1385</v>
      </c>
      <c r="B448" s="909"/>
      <c r="C448" s="910" t="s">
        <v>870</v>
      </c>
      <c r="D448" s="912"/>
      <c r="E448" s="912">
        <v>10000</v>
      </c>
      <c r="F448" s="912"/>
      <c r="G448" s="914">
        <f>D448+E448+F448</f>
        <v>10000</v>
      </c>
    </row>
    <row r="449" spans="1:7" s="938" customFormat="1" ht="12.75">
      <c r="A449" s="966" t="s">
        <v>1281</v>
      </c>
      <c r="B449" s="916" t="s">
        <v>725</v>
      </c>
      <c r="C449" s="917" t="s">
        <v>935</v>
      </c>
      <c r="D449" s="919"/>
      <c r="E449" s="919">
        <v>5000</v>
      </c>
      <c r="F449" s="919"/>
      <c r="G449" s="921"/>
    </row>
    <row r="450" spans="1:7" s="938" customFormat="1" ht="12.75">
      <c r="A450" s="966" t="s">
        <v>1282</v>
      </c>
      <c r="B450" s="916" t="s">
        <v>725</v>
      </c>
      <c r="C450" s="917" t="s">
        <v>1079</v>
      </c>
      <c r="D450" s="919"/>
      <c r="E450" s="919">
        <v>1000</v>
      </c>
      <c r="F450" s="919"/>
      <c r="G450" s="921"/>
    </row>
    <row r="451" spans="1:7" s="938" customFormat="1" ht="13.5" thickBot="1">
      <c r="A451" s="966" t="s">
        <v>1283</v>
      </c>
      <c r="B451" s="916" t="s">
        <v>725</v>
      </c>
      <c r="C451" s="917" t="s">
        <v>1078</v>
      </c>
      <c r="D451" s="919"/>
      <c r="E451" s="919">
        <v>4000</v>
      </c>
      <c r="F451" s="919"/>
      <c r="G451" s="921"/>
    </row>
    <row r="452" spans="1:7" ht="13.5" thickBot="1">
      <c r="A452" s="922" t="s">
        <v>1284</v>
      </c>
      <c r="B452" s="923"/>
      <c r="C452" s="923"/>
      <c r="D452" s="923"/>
      <c r="E452" s="923"/>
      <c r="F452" s="924"/>
      <c r="G452" s="925">
        <f>SUM(G386:G448)</f>
        <v>2113000</v>
      </c>
    </row>
    <row r="454" ht="13.5" thickBot="1"/>
    <row r="455" spans="1:7" ht="13.5" thickBot="1">
      <c r="A455" s="899" t="s">
        <v>1285</v>
      </c>
      <c r="B455" s="900"/>
      <c r="C455" s="900"/>
      <c r="D455" s="900"/>
      <c r="E455" s="900"/>
      <c r="F455" s="900"/>
      <c r="G455" s="901"/>
    </row>
    <row r="456" spans="1:7" ht="12.75">
      <c r="A456" s="903" t="s">
        <v>729</v>
      </c>
      <c r="B456" s="904" t="s">
        <v>1238</v>
      </c>
      <c r="C456" s="904" t="s">
        <v>730</v>
      </c>
      <c r="D456" s="905" t="s">
        <v>731</v>
      </c>
      <c r="E456" s="906" t="s">
        <v>585</v>
      </c>
      <c r="F456" s="905" t="s">
        <v>742</v>
      </c>
      <c r="G456" s="907" t="s">
        <v>732</v>
      </c>
    </row>
    <row r="457" spans="1:7" ht="12.75">
      <c r="A457" s="908" t="s">
        <v>1286</v>
      </c>
      <c r="B457" s="909"/>
      <c r="C457" s="910" t="s">
        <v>993</v>
      </c>
      <c r="D457" s="912"/>
      <c r="E457" s="912">
        <v>100000</v>
      </c>
      <c r="F457" s="912"/>
      <c r="G457" s="914">
        <f>E457+F457+D457</f>
        <v>100000</v>
      </c>
    </row>
    <row r="458" spans="1:7" s="955" customFormat="1" ht="12.75">
      <c r="A458" s="981" t="s">
        <v>1287</v>
      </c>
      <c r="B458" s="949" t="s">
        <v>725</v>
      </c>
      <c r="C458" s="950" t="s">
        <v>885</v>
      </c>
      <c r="D458" s="952"/>
      <c r="E458" s="952">
        <v>80000</v>
      </c>
      <c r="F458" s="952"/>
      <c r="G458" s="953"/>
    </row>
    <row r="459" spans="1:7" s="955" customFormat="1" ht="12.75">
      <c r="A459" s="981" t="s">
        <v>1296</v>
      </c>
      <c r="B459" s="949" t="s">
        <v>725</v>
      </c>
      <c r="C459" s="950" t="s">
        <v>1239</v>
      </c>
      <c r="D459" s="952"/>
      <c r="E459" s="952">
        <v>18000</v>
      </c>
      <c r="F459" s="952"/>
      <c r="G459" s="953"/>
    </row>
    <row r="460" spans="1:7" s="955" customFormat="1" ht="12.75">
      <c r="A460" s="981" t="s">
        <v>1288</v>
      </c>
      <c r="B460" s="949" t="s">
        <v>725</v>
      </c>
      <c r="C460" s="950" t="s">
        <v>887</v>
      </c>
      <c r="D460" s="952"/>
      <c r="E460" s="952">
        <v>1000</v>
      </c>
      <c r="F460" s="952"/>
      <c r="G460" s="953"/>
    </row>
    <row r="461" spans="1:7" s="955" customFormat="1" ht="12.75">
      <c r="A461" s="981" t="s">
        <v>1289</v>
      </c>
      <c r="B461" s="949" t="s">
        <v>725</v>
      </c>
      <c r="C461" s="950" t="s">
        <v>1290</v>
      </c>
      <c r="D461" s="952"/>
      <c r="E461" s="952">
        <v>1000</v>
      </c>
      <c r="F461" s="952"/>
      <c r="G461" s="953"/>
    </row>
    <row r="462" spans="1:7" ht="12.75">
      <c r="A462" s="908" t="s">
        <v>1291</v>
      </c>
      <c r="B462" s="909"/>
      <c r="C462" s="910" t="s">
        <v>737</v>
      </c>
      <c r="D462" s="913"/>
      <c r="E462" s="912">
        <v>10000</v>
      </c>
      <c r="F462" s="912"/>
      <c r="G462" s="914">
        <f>F462+E462+D462</f>
        <v>10000</v>
      </c>
    </row>
    <row r="463" spans="1:7" ht="12.75">
      <c r="A463" s="915" t="s">
        <v>1292</v>
      </c>
      <c r="B463" s="916" t="s">
        <v>725</v>
      </c>
      <c r="C463" s="917" t="s">
        <v>887</v>
      </c>
      <c r="D463" s="920"/>
      <c r="E463" s="919">
        <v>3000</v>
      </c>
      <c r="F463" s="912"/>
      <c r="G463" s="914"/>
    </row>
    <row r="464" spans="1:7" ht="12.75">
      <c r="A464" s="915" t="s">
        <v>1293</v>
      </c>
      <c r="B464" s="916" t="s">
        <v>725</v>
      </c>
      <c r="C464" s="917" t="s">
        <v>1079</v>
      </c>
      <c r="D464" s="920"/>
      <c r="E464" s="919">
        <v>500</v>
      </c>
      <c r="F464" s="912"/>
      <c r="G464" s="914"/>
    </row>
    <row r="465" spans="1:7" ht="13.5" thickBot="1">
      <c r="A465" s="915" t="s">
        <v>1294</v>
      </c>
      <c r="B465" s="916" t="s">
        <v>725</v>
      </c>
      <c r="C465" s="917" t="s">
        <v>1290</v>
      </c>
      <c r="D465" s="920"/>
      <c r="E465" s="919">
        <v>6500</v>
      </c>
      <c r="F465" s="912"/>
      <c r="G465" s="914"/>
    </row>
    <row r="466" spans="1:7" ht="13.5" thickBot="1">
      <c r="A466" s="922" t="s">
        <v>1295</v>
      </c>
      <c r="B466" s="923"/>
      <c r="C466" s="923"/>
      <c r="D466" s="923"/>
      <c r="E466" s="923"/>
      <c r="F466" s="924"/>
      <c r="G466" s="925">
        <f>SUM(G457:G465)</f>
        <v>110000</v>
      </c>
    </row>
    <row r="468" ht="13.5" thickBot="1"/>
    <row r="469" spans="1:7" ht="13.5" thickBot="1">
      <c r="A469" s="899" t="s">
        <v>872</v>
      </c>
      <c r="B469" s="900"/>
      <c r="C469" s="900"/>
      <c r="D469" s="900"/>
      <c r="E469" s="900"/>
      <c r="F469" s="900"/>
      <c r="G469" s="901"/>
    </row>
    <row r="470" spans="1:7" ht="12.75">
      <c r="A470" s="903" t="s">
        <v>729</v>
      </c>
      <c r="B470" s="904" t="s">
        <v>1238</v>
      </c>
      <c r="C470" s="904" t="s">
        <v>730</v>
      </c>
      <c r="D470" s="905" t="s">
        <v>731</v>
      </c>
      <c r="E470" s="906" t="s">
        <v>585</v>
      </c>
      <c r="F470" s="905" t="s">
        <v>742</v>
      </c>
      <c r="G470" s="907" t="s">
        <v>732</v>
      </c>
    </row>
    <row r="471" spans="1:7" ht="12.75">
      <c r="A471" s="908" t="s">
        <v>1105</v>
      </c>
      <c r="B471" s="909"/>
      <c r="C471" s="910" t="s">
        <v>873</v>
      </c>
      <c r="D471" s="913"/>
      <c r="E471" s="912">
        <f>SUM(E472:E478)</f>
        <v>2469000</v>
      </c>
      <c r="F471" s="913"/>
      <c r="G471" s="914">
        <f>F471+E471+D471</f>
        <v>2469000</v>
      </c>
    </row>
    <row r="472" spans="1:7" s="938" customFormat="1" ht="12.75">
      <c r="A472" s="915" t="s">
        <v>1106</v>
      </c>
      <c r="B472" s="916" t="s">
        <v>1359</v>
      </c>
      <c r="C472" s="917" t="s">
        <v>475</v>
      </c>
      <c r="D472" s="920"/>
      <c r="E472" s="919">
        <v>700000</v>
      </c>
      <c r="F472" s="920"/>
      <c r="G472" s="921"/>
    </row>
    <row r="473" spans="1:7" s="938" customFormat="1" ht="12.75">
      <c r="A473" s="915" t="s">
        <v>1107</v>
      </c>
      <c r="B473" s="916" t="s">
        <v>1359</v>
      </c>
      <c r="C473" s="917" t="s">
        <v>476</v>
      </c>
      <c r="D473" s="920"/>
      <c r="E473" s="919">
        <v>200000</v>
      </c>
      <c r="F473" s="920"/>
      <c r="G473" s="921"/>
    </row>
    <row r="474" spans="1:7" s="938" customFormat="1" ht="12.75">
      <c r="A474" s="915" t="s">
        <v>1108</v>
      </c>
      <c r="B474" s="916" t="s">
        <v>1359</v>
      </c>
      <c r="C474" s="917" t="s">
        <v>1104</v>
      </c>
      <c r="D474" s="920"/>
      <c r="E474" s="919">
        <v>1400000</v>
      </c>
      <c r="F474" s="920"/>
      <c r="G474" s="921"/>
    </row>
    <row r="475" spans="1:7" s="938" customFormat="1" ht="12.75">
      <c r="A475" s="915" t="s">
        <v>1110</v>
      </c>
      <c r="B475" s="916" t="s">
        <v>1359</v>
      </c>
      <c r="C475" s="917" t="s">
        <v>887</v>
      </c>
      <c r="D475" s="920"/>
      <c r="E475" s="919">
        <v>20000</v>
      </c>
      <c r="F475" s="920"/>
      <c r="G475" s="921"/>
    </row>
    <row r="476" spans="1:7" s="938" customFormat="1" ht="12.75">
      <c r="A476" s="915" t="s">
        <v>1109</v>
      </c>
      <c r="B476" s="916" t="s">
        <v>1359</v>
      </c>
      <c r="C476" s="917" t="s">
        <v>1112</v>
      </c>
      <c r="D476" s="920"/>
      <c r="E476" s="919">
        <v>10000</v>
      </c>
      <c r="F476" s="920"/>
      <c r="G476" s="921"/>
    </row>
    <row r="477" spans="1:7" s="938" customFormat="1" ht="12.75">
      <c r="A477" s="915" t="s">
        <v>1237</v>
      </c>
      <c r="B477" s="916" t="s">
        <v>725</v>
      </c>
      <c r="C477" s="917" t="s">
        <v>1239</v>
      </c>
      <c r="D477" s="920"/>
      <c r="E477" s="919">
        <v>39000</v>
      </c>
      <c r="F477" s="920"/>
      <c r="G477" s="921"/>
    </row>
    <row r="478" spans="1:7" s="938" customFormat="1" ht="12.75">
      <c r="A478" s="915" t="s">
        <v>1111</v>
      </c>
      <c r="B478" s="916" t="s">
        <v>1359</v>
      </c>
      <c r="C478" s="917" t="s">
        <v>1078</v>
      </c>
      <c r="D478" s="920"/>
      <c r="E478" s="919">
        <v>100000</v>
      </c>
      <c r="F478" s="920"/>
      <c r="G478" s="921"/>
    </row>
    <row r="479" spans="1:7" ht="12.75">
      <c r="A479" s="908" t="s">
        <v>874</v>
      </c>
      <c r="B479" s="909"/>
      <c r="C479" s="910" t="s">
        <v>1115</v>
      </c>
      <c r="D479" s="913"/>
      <c r="E479" s="912">
        <f>E480</f>
        <v>1931000</v>
      </c>
      <c r="F479" s="913"/>
      <c r="G479" s="914">
        <f>F479+E479+D479</f>
        <v>1931000</v>
      </c>
    </row>
    <row r="480" spans="1:7" s="938" customFormat="1" ht="13.5" thickBot="1">
      <c r="A480" s="915" t="s">
        <v>1113</v>
      </c>
      <c r="B480" s="916" t="s">
        <v>1359</v>
      </c>
      <c r="C480" s="917" t="s">
        <v>1114</v>
      </c>
      <c r="D480" s="920"/>
      <c r="E480" s="919">
        <v>1931000</v>
      </c>
      <c r="F480" s="920"/>
      <c r="G480" s="921"/>
    </row>
    <row r="481" spans="1:7" ht="13.5" thickBot="1">
      <c r="A481" s="922" t="s">
        <v>1264</v>
      </c>
      <c r="B481" s="923"/>
      <c r="C481" s="923"/>
      <c r="D481" s="923"/>
      <c r="E481" s="923"/>
      <c r="F481" s="924"/>
      <c r="G481" s="925">
        <f>SUM(G471:G479)</f>
        <v>4400000</v>
      </c>
    </row>
    <row r="483" ht="13.5" thickBot="1"/>
    <row r="484" spans="1:7" ht="13.5" thickBot="1">
      <c r="A484" s="899" t="s">
        <v>1366</v>
      </c>
      <c r="B484" s="900"/>
      <c r="C484" s="900"/>
      <c r="D484" s="900"/>
      <c r="E484" s="900"/>
      <c r="F484" s="900"/>
      <c r="G484" s="901"/>
    </row>
    <row r="485" spans="1:7" ht="12.75">
      <c r="A485" s="903" t="s">
        <v>729</v>
      </c>
      <c r="B485" s="975" t="s">
        <v>1238</v>
      </c>
      <c r="C485" s="904" t="s">
        <v>730</v>
      </c>
      <c r="D485" s="905" t="s">
        <v>731</v>
      </c>
      <c r="E485" s="906" t="s">
        <v>585</v>
      </c>
      <c r="F485" s="905" t="s">
        <v>742</v>
      </c>
      <c r="G485" s="907" t="s">
        <v>732</v>
      </c>
    </row>
    <row r="486" spans="1:7" ht="12.75">
      <c r="A486" s="908" t="s">
        <v>1350</v>
      </c>
      <c r="B486" s="909"/>
      <c r="C486" s="910" t="s">
        <v>1349</v>
      </c>
      <c r="D486" s="913"/>
      <c r="E486" s="912">
        <f>SUM(E487:E488)</f>
        <v>1003000</v>
      </c>
      <c r="F486" s="913"/>
      <c r="G486" s="914">
        <f>E486</f>
        <v>1003000</v>
      </c>
    </row>
    <row r="487" spans="1:7" s="955" customFormat="1" ht="12.75">
      <c r="A487" s="981" t="s">
        <v>1351</v>
      </c>
      <c r="B487" s="949" t="s">
        <v>725</v>
      </c>
      <c r="C487" s="950" t="s">
        <v>1240</v>
      </c>
      <c r="D487" s="951"/>
      <c r="E487" s="952">
        <v>903000</v>
      </c>
      <c r="F487" s="951"/>
      <c r="G487" s="953"/>
    </row>
    <row r="488" spans="1:8" s="955" customFormat="1" ht="12.75">
      <c r="A488" s="981" t="s">
        <v>1352</v>
      </c>
      <c r="B488" s="949" t="s">
        <v>725</v>
      </c>
      <c r="C488" s="950" t="s">
        <v>1241</v>
      </c>
      <c r="D488" s="951"/>
      <c r="E488" s="952">
        <v>100000</v>
      </c>
      <c r="F488" s="951"/>
      <c r="G488" s="953"/>
      <c r="H488" s="982"/>
    </row>
    <row r="489" spans="1:7" ht="12.75">
      <c r="A489" s="908" t="s">
        <v>1353</v>
      </c>
      <c r="B489" s="909"/>
      <c r="C489" s="910" t="s">
        <v>1242</v>
      </c>
      <c r="D489" s="913"/>
      <c r="E489" s="912">
        <v>300000</v>
      </c>
      <c r="F489" s="913"/>
      <c r="G489" s="914">
        <f>E489</f>
        <v>300000</v>
      </c>
    </row>
    <row r="490" spans="1:7" s="955" customFormat="1" ht="12.75">
      <c r="A490" s="981" t="s">
        <v>1566</v>
      </c>
      <c r="B490" s="949" t="s">
        <v>725</v>
      </c>
      <c r="C490" s="950" t="s">
        <v>1567</v>
      </c>
      <c r="D490" s="951"/>
      <c r="E490" s="952"/>
      <c r="F490" s="951"/>
      <c r="G490" s="953"/>
    </row>
    <row r="491" spans="1:7" ht="12.75">
      <c r="A491" s="908" t="s">
        <v>1354</v>
      </c>
      <c r="B491" s="909"/>
      <c r="C491" s="910" t="s">
        <v>1355</v>
      </c>
      <c r="D491" s="913"/>
      <c r="E491" s="912">
        <v>350000</v>
      </c>
      <c r="F491" s="913"/>
      <c r="G491" s="914">
        <f>E491</f>
        <v>350000</v>
      </c>
    </row>
    <row r="492" spans="1:7" s="955" customFormat="1" ht="12.75">
      <c r="A492" s="981" t="s">
        <v>1356</v>
      </c>
      <c r="B492" s="949" t="s">
        <v>725</v>
      </c>
      <c r="C492" s="950" t="s">
        <v>1357</v>
      </c>
      <c r="D492" s="951"/>
      <c r="E492" s="952">
        <v>350000</v>
      </c>
      <c r="F492" s="951"/>
      <c r="G492" s="953"/>
    </row>
    <row r="493" spans="1:7" ht="13.5" thickBot="1">
      <c r="A493" s="908"/>
      <c r="B493" s="909"/>
      <c r="C493" s="910"/>
      <c r="D493" s="913"/>
      <c r="E493" s="912"/>
      <c r="F493" s="913"/>
      <c r="G493" s="914"/>
    </row>
    <row r="494" spans="1:7" ht="13.5" thickBot="1">
      <c r="A494" s="922" t="s">
        <v>1358</v>
      </c>
      <c r="B494" s="923"/>
      <c r="C494" s="923"/>
      <c r="D494" s="923"/>
      <c r="E494" s="923"/>
      <c r="F494" s="924"/>
      <c r="G494" s="925">
        <f>SUM(G486:G491)</f>
        <v>1653000</v>
      </c>
    </row>
    <row r="497" spans="1:7" ht="12.75">
      <c r="A497" s="983"/>
      <c r="B497" s="916"/>
      <c r="C497" s="983"/>
      <c r="D497" s="983"/>
      <c r="E497" s="983"/>
      <c r="F497" s="983"/>
      <c r="G497" s="984"/>
    </row>
    <row r="498" spans="1:7" ht="13.5" thickBot="1">
      <c r="A498" s="983"/>
      <c r="B498" s="916"/>
      <c r="C498" s="983"/>
      <c r="D498" s="983"/>
      <c r="E498" s="983"/>
      <c r="F498" s="983"/>
      <c r="G498" s="984"/>
    </row>
    <row r="499" spans="1:7" ht="13.5" thickBot="1">
      <c r="A499" s="899" t="s">
        <v>1118</v>
      </c>
      <c r="B499" s="900"/>
      <c r="C499" s="900"/>
      <c r="D499" s="900"/>
      <c r="E499" s="900"/>
      <c r="F499" s="900"/>
      <c r="G499" s="901"/>
    </row>
    <row r="500" spans="1:7" ht="12.75">
      <c r="A500" s="903" t="s">
        <v>729</v>
      </c>
      <c r="B500" s="975" t="s">
        <v>1238</v>
      </c>
      <c r="C500" s="904" t="s">
        <v>730</v>
      </c>
      <c r="D500" s="905" t="s">
        <v>731</v>
      </c>
      <c r="E500" s="906" t="s">
        <v>585</v>
      </c>
      <c r="F500" s="905" t="s">
        <v>742</v>
      </c>
      <c r="G500" s="907" t="s">
        <v>732</v>
      </c>
    </row>
    <row r="501" spans="1:7" ht="12.75">
      <c r="A501" s="908" t="s">
        <v>1116</v>
      </c>
      <c r="B501" s="909"/>
      <c r="C501" s="910" t="s">
        <v>878</v>
      </c>
      <c r="D501" s="913"/>
      <c r="E501" s="912">
        <v>250000</v>
      </c>
      <c r="F501" s="913"/>
      <c r="G501" s="914">
        <f>SUM(D501:F501)</f>
        <v>250000</v>
      </c>
    </row>
    <row r="502" spans="1:7" s="938" customFormat="1" ht="13.5" thickBot="1">
      <c r="A502" s="915" t="s">
        <v>1117</v>
      </c>
      <c r="B502" s="949" t="s">
        <v>725</v>
      </c>
      <c r="C502" s="917" t="s">
        <v>878</v>
      </c>
      <c r="D502" s="920"/>
      <c r="E502" s="919">
        <v>250000</v>
      </c>
      <c r="F502" s="920"/>
      <c r="G502" s="921"/>
    </row>
    <row r="503" spans="1:7" ht="13.5" thickBot="1">
      <c r="A503" s="922" t="s">
        <v>1348</v>
      </c>
      <c r="B503" s="923"/>
      <c r="C503" s="923"/>
      <c r="D503" s="923"/>
      <c r="E503" s="923"/>
      <c r="F503" s="924"/>
      <c r="G503" s="925">
        <f>SUM(G501:G502)</f>
        <v>250000</v>
      </c>
    </row>
    <row r="504" spans="1:7" ht="12.75">
      <c r="A504" s="983"/>
      <c r="B504" s="983"/>
      <c r="C504" s="983"/>
      <c r="D504" s="983"/>
      <c r="E504" s="983"/>
      <c r="F504" s="983"/>
      <c r="G504" s="984"/>
    </row>
    <row r="505" spans="1:7" ht="12.75">
      <c r="A505" s="983"/>
      <c r="B505" s="983"/>
      <c r="C505" s="983"/>
      <c r="D505" s="983"/>
      <c r="E505" s="983"/>
      <c r="F505" s="983"/>
      <c r="G505" s="984"/>
    </row>
    <row r="506" ht="13.5" thickBot="1"/>
    <row r="507" spans="1:8" s="948" customFormat="1" ht="13.5" thickBot="1">
      <c r="A507" s="985" t="s">
        <v>1551</v>
      </c>
      <c r="B507" s="986"/>
      <c r="C507" s="987"/>
      <c r="D507" s="988"/>
      <c r="E507" s="989"/>
      <c r="F507" s="988"/>
      <c r="G507" s="990">
        <f>G17+G494+G481+G452+G381+G358+G319+G214+G174+G89+G73+G51+G32+G503+G466</f>
        <v>44849000</v>
      </c>
      <c r="H507" s="991"/>
    </row>
    <row r="509" ht="12.75">
      <c r="G509" s="928"/>
    </row>
  </sheetData>
  <sheetProtection/>
  <mergeCells count="15">
    <mergeCell ref="A499:G499"/>
    <mergeCell ref="A384:G384"/>
    <mergeCell ref="A455:G455"/>
    <mergeCell ref="A469:G469"/>
    <mergeCell ref="A217:G217"/>
    <mergeCell ref="A323:G323"/>
    <mergeCell ref="A362:G362"/>
    <mergeCell ref="A1:G1"/>
    <mergeCell ref="A484:G484"/>
    <mergeCell ref="A21:G21"/>
    <mergeCell ref="A35:G35"/>
    <mergeCell ref="A54:G54"/>
    <mergeCell ref="A76:G76"/>
    <mergeCell ref="A93:G93"/>
    <mergeCell ref="A177:G177"/>
  </mergeCells>
  <printOptions/>
  <pageMargins left="0.511811024" right="0.511811024" top="0.787401575" bottom="0.787401575" header="0.31496062" footer="0.31496062"/>
  <pageSetup orientation="portrait" paperSize="9" scale="56" r:id="rId1"/>
  <headerFooter>
    <oddHeader>&amp;C&amp;"Arial,Negrito"&amp;12Programa de Trabalho 
Anexo 6, da LEI 4.320/64
L.D.O. EXERCÍCIO DE 2018</oddHeader>
  </headerFooter>
  <rowBreaks count="7" manualBreakCount="7">
    <brk id="89" max="255" man="1"/>
    <brk id="174" max="255" man="1"/>
    <brk id="216" max="255" man="1"/>
    <brk id="319" max="255" man="1"/>
    <brk id="322" max="8" man="1"/>
    <brk id="381" max="255" man="1"/>
    <brk id="452" max="255" man="1"/>
  </rowBreaks>
  <colBreaks count="1" manualBreakCount="1">
    <brk id="7" max="65535" man="1"/>
  </colBreaks>
  <ignoredErrors>
    <ignoredError sqref="B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C3:H133"/>
  <sheetViews>
    <sheetView workbookViewId="0" topLeftCell="B109">
      <selection activeCell="C119" sqref="C119:E133"/>
    </sheetView>
  </sheetViews>
  <sheetFormatPr defaultColWidth="9.140625" defaultRowHeight="12.75"/>
  <cols>
    <col min="1" max="2" width="9.140625" style="878" customWidth="1"/>
    <col min="3" max="3" width="9.140625" style="992" customWidth="1"/>
    <col min="4" max="4" width="84.00390625" style="878" bestFit="1" customWidth="1"/>
    <col min="5" max="5" width="16.28125" style="993" customWidth="1"/>
    <col min="6" max="7" width="9.140625" style="878" customWidth="1"/>
    <col min="8" max="8" width="14.28125" style="878" bestFit="1" customWidth="1"/>
    <col min="9" max="16384" width="9.140625" style="878" customWidth="1"/>
  </cols>
  <sheetData>
    <row r="2" ht="13.5" thickBot="1"/>
    <row r="3" spans="3:5" ht="13.5" thickBot="1">
      <c r="C3" s="929" t="s">
        <v>1160</v>
      </c>
      <c r="D3" s="994"/>
      <c r="E3" s="995"/>
    </row>
    <row r="4" spans="3:5" ht="12.75">
      <c r="C4" s="996" t="s">
        <v>1120</v>
      </c>
      <c r="D4" s="997"/>
      <c r="E4" s="998"/>
    </row>
    <row r="5" spans="3:5" ht="13.5" thickBot="1">
      <c r="C5" s="999" t="s">
        <v>1161</v>
      </c>
      <c r="D5" s="951" t="s">
        <v>1162</v>
      </c>
      <c r="E5" s="1000">
        <v>1800000</v>
      </c>
    </row>
    <row r="6" spans="3:5" ht="13.5" thickBot="1">
      <c r="C6" s="1001" t="s">
        <v>1145</v>
      </c>
      <c r="D6" s="1002"/>
      <c r="E6" s="990">
        <f>SUM(E5:E5)</f>
        <v>1800000</v>
      </c>
    </row>
    <row r="8" ht="13.5" thickBot="1"/>
    <row r="9" spans="3:5" ht="13.5" thickBot="1">
      <c r="C9" s="929" t="s">
        <v>1119</v>
      </c>
      <c r="D9" s="994"/>
      <c r="E9" s="995"/>
    </row>
    <row r="10" spans="3:5" ht="12.75">
      <c r="C10" s="996" t="s">
        <v>1120</v>
      </c>
      <c r="D10" s="997"/>
      <c r="E10" s="998"/>
    </row>
    <row r="11" spans="3:5" ht="12.75">
      <c r="C11" s="999" t="s">
        <v>1121</v>
      </c>
      <c r="D11" s="951" t="s">
        <v>1122</v>
      </c>
      <c r="E11" s="1000">
        <v>613320</v>
      </c>
    </row>
    <row r="12" spans="3:5" ht="12.75">
      <c r="C12" s="999" t="s">
        <v>1123</v>
      </c>
      <c r="D12" s="951" t="s">
        <v>1124</v>
      </c>
      <c r="E12" s="1000">
        <v>645980</v>
      </c>
    </row>
    <row r="13" spans="3:5" ht="12.75">
      <c r="C13" s="999" t="s">
        <v>1125</v>
      </c>
      <c r="D13" s="951" t="s">
        <v>1126</v>
      </c>
      <c r="E13" s="1000">
        <v>849040</v>
      </c>
    </row>
    <row r="14" spans="3:5" ht="12.75">
      <c r="C14" s="999" t="s">
        <v>1127</v>
      </c>
      <c r="D14" s="951" t="s">
        <v>1128</v>
      </c>
      <c r="E14" s="1000">
        <v>642524</v>
      </c>
    </row>
    <row r="15" spans="3:5" ht="12.75">
      <c r="C15" s="999" t="s">
        <v>1129</v>
      </c>
      <c r="D15" s="951" t="s">
        <v>1130</v>
      </c>
      <c r="E15" s="1000">
        <v>662120</v>
      </c>
    </row>
    <row r="16" spans="3:5" ht="13.5" thickBot="1">
      <c r="C16" s="1003" t="s">
        <v>1364</v>
      </c>
      <c r="D16" s="958" t="s">
        <v>1365</v>
      </c>
      <c r="E16" s="1004">
        <v>110000</v>
      </c>
    </row>
    <row r="17" spans="3:5" ht="13.5" thickBot="1">
      <c r="C17" s="1005" t="s">
        <v>1163</v>
      </c>
      <c r="D17" s="1006"/>
      <c r="E17" s="1007">
        <f>SUM(E11:E16)</f>
        <v>3522984</v>
      </c>
    </row>
    <row r="18" spans="3:5" ht="12.75">
      <c r="C18" s="1008"/>
      <c r="D18" s="1008"/>
      <c r="E18" s="945"/>
    </row>
    <row r="19" spans="3:5" ht="13.5" thickBot="1">
      <c r="C19" s="1008"/>
      <c r="D19" s="1008"/>
      <c r="E19" s="945"/>
    </row>
    <row r="20" spans="3:5" ht="13.5" thickBot="1">
      <c r="C20" s="929" t="s">
        <v>1362</v>
      </c>
      <c r="D20" s="994"/>
      <c r="E20" s="995"/>
    </row>
    <row r="21" spans="3:5" ht="12.75">
      <c r="C21" s="996" t="s">
        <v>1120</v>
      </c>
      <c r="D21" s="997"/>
      <c r="E21" s="998"/>
    </row>
    <row r="22" spans="3:5" ht="13.5" thickBot="1">
      <c r="C22" s="999" t="s">
        <v>1125</v>
      </c>
      <c r="D22" s="951" t="s">
        <v>1363</v>
      </c>
      <c r="E22" s="1000">
        <v>40000</v>
      </c>
    </row>
    <row r="23" spans="3:5" ht="13.5" thickBot="1">
      <c r="C23" s="1001" t="s">
        <v>1145</v>
      </c>
      <c r="D23" s="1002"/>
      <c r="E23" s="990">
        <f>SUM(E22:E22)</f>
        <v>40000</v>
      </c>
    </row>
    <row r="24" spans="3:5" ht="12.75">
      <c r="C24" s="1008"/>
      <c r="D24" s="1008"/>
      <c r="E24" s="945"/>
    </row>
    <row r="25" spans="3:5" ht="13.5" thickBot="1">
      <c r="C25" s="1008"/>
      <c r="D25" s="1008"/>
      <c r="E25" s="945"/>
    </row>
    <row r="26" spans="3:5" ht="13.5" thickBot="1">
      <c r="C26" s="929" t="s">
        <v>1149</v>
      </c>
      <c r="D26" s="994"/>
      <c r="E26" s="995"/>
    </row>
    <row r="27" spans="3:5" ht="12.75">
      <c r="C27" s="996" t="s">
        <v>1120</v>
      </c>
      <c r="D27" s="997"/>
      <c r="E27" s="998"/>
    </row>
    <row r="28" spans="3:5" ht="13.5" thickBot="1">
      <c r="C28" s="999" t="s">
        <v>1150</v>
      </c>
      <c r="D28" s="951" t="s">
        <v>1151</v>
      </c>
      <c r="E28" s="1000">
        <v>2068000</v>
      </c>
    </row>
    <row r="29" spans="3:5" ht="13.5" thickBot="1">
      <c r="C29" s="1001" t="s">
        <v>1145</v>
      </c>
      <c r="D29" s="1002"/>
      <c r="E29" s="990">
        <f>SUM(E28:E28)</f>
        <v>2068000</v>
      </c>
    </row>
    <row r="30" spans="3:5" ht="12.75">
      <c r="C30" s="1008"/>
      <c r="D30" s="1008"/>
      <c r="E30" s="945"/>
    </row>
    <row r="31" spans="3:5" ht="13.5" thickBot="1">
      <c r="C31" s="1008"/>
      <c r="D31" s="1008"/>
      <c r="E31" s="945"/>
    </row>
    <row r="32" spans="3:5" ht="13.5" thickBot="1">
      <c r="C32" s="929" t="s">
        <v>1153</v>
      </c>
      <c r="D32" s="994"/>
      <c r="E32" s="995"/>
    </row>
    <row r="33" spans="3:5" ht="12.75">
      <c r="C33" s="996" t="s">
        <v>1120</v>
      </c>
      <c r="D33" s="997"/>
      <c r="E33" s="998"/>
    </row>
    <row r="34" spans="3:5" ht="13.5" thickBot="1">
      <c r="C34" s="999" t="s">
        <v>1154</v>
      </c>
      <c r="D34" s="951" t="s">
        <v>1155</v>
      </c>
      <c r="E34" s="1000">
        <v>4400000</v>
      </c>
    </row>
    <row r="35" spans="3:5" ht="13.5" thickBot="1">
      <c r="C35" s="1001" t="s">
        <v>1163</v>
      </c>
      <c r="D35" s="1002"/>
      <c r="E35" s="990">
        <f>SUM(E34:E34)</f>
        <v>4400000</v>
      </c>
    </row>
    <row r="36" spans="3:5" ht="12.75">
      <c r="C36" s="1008"/>
      <c r="D36" s="1008"/>
      <c r="E36" s="945"/>
    </row>
    <row r="37" spans="3:5" ht="12.75">
      <c r="C37" s="1008"/>
      <c r="D37" s="1008"/>
      <c r="E37" s="945"/>
    </row>
    <row r="38" spans="3:5" ht="13.5" thickBot="1">
      <c r="C38" s="1008"/>
      <c r="D38" s="1008"/>
      <c r="E38" s="945"/>
    </row>
    <row r="39" spans="3:5" ht="13.5" thickBot="1">
      <c r="C39" s="929" t="s">
        <v>1138</v>
      </c>
      <c r="D39" s="994"/>
      <c r="E39" s="995"/>
    </row>
    <row r="40" spans="3:5" ht="12.75">
      <c r="C40" s="996" t="s">
        <v>1120</v>
      </c>
      <c r="D40" s="997"/>
      <c r="E40" s="998"/>
    </row>
    <row r="41" spans="3:5" ht="13.5" thickBot="1">
      <c r="C41" s="999" t="s">
        <v>1139</v>
      </c>
      <c r="D41" s="951" t="s">
        <v>1140</v>
      </c>
      <c r="E41" s="1000">
        <v>8785944.8</v>
      </c>
    </row>
    <row r="42" spans="3:5" ht="13.5" thickBot="1">
      <c r="C42" s="1001" t="s">
        <v>1163</v>
      </c>
      <c r="D42" s="1002"/>
      <c r="E42" s="990">
        <f>SUM(E41:E41)</f>
        <v>8785944.8</v>
      </c>
    </row>
    <row r="43" spans="3:5" ht="12.75">
      <c r="C43" s="1008"/>
      <c r="D43" s="1008"/>
      <c r="E43" s="945"/>
    </row>
    <row r="45" ht="13.5" thickBot="1"/>
    <row r="46" spans="3:5" ht="13.5" thickBot="1">
      <c r="C46" s="929" t="s">
        <v>1131</v>
      </c>
      <c r="D46" s="994"/>
      <c r="E46" s="995"/>
    </row>
    <row r="47" spans="3:5" ht="12.75">
      <c r="C47" s="996" t="s">
        <v>1120</v>
      </c>
      <c r="D47" s="997"/>
      <c r="E47" s="998"/>
    </row>
    <row r="48" spans="3:5" ht="13.5" thickBot="1">
      <c r="C48" s="999" t="s">
        <v>1132</v>
      </c>
      <c r="D48" s="951" t="s">
        <v>1133</v>
      </c>
      <c r="E48" s="1000">
        <v>15161703</v>
      </c>
    </row>
    <row r="49" spans="3:5" ht="13.5" thickBot="1">
      <c r="C49" s="1001" t="s">
        <v>1163</v>
      </c>
      <c r="D49" s="1002"/>
      <c r="E49" s="990">
        <f>SUM(E48:E48)</f>
        <v>15161703</v>
      </c>
    </row>
    <row r="51" ht="13.5" thickBot="1"/>
    <row r="52" spans="3:5" ht="13.5" thickBot="1">
      <c r="C52" s="929" t="s">
        <v>1134</v>
      </c>
      <c r="D52" s="994"/>
      <c r="E52" s="995"/>
    </row>
    <row r="53" spans="3:5" ht="12.75">
      <c r="C53" s="996" t="s">
        <v>1120</v>
      </c>
      <c r="D53" s="997"/>
      <c r="E53" s="998"/>
    </row>
    <row r="54" spans="3:5" ht="13.5" thickBot="1">
      <c r="C54" s="999" t="s">
        <v>1132</v>
      </c>
      <c r="D54" s="951" t="s">
        <v>1133</v>
      </c>
      <c r="E54" s="1000">
        <v>97000</v>
      </c>
    </row>
    <row r="55" spans="3:5" ht="13.5" thickBot="1">
      <c r="C55" s="1001" t="s">
        <v>1163</v>
      </c>
      <c r="D55" s="1002"/>
      <c r="E55" s="990">
        <f>SUM(E54:E54)</f>
        <v>97000</v>
      </c>
    </row>
    <row r="56" spans="3:5" ht="12.75">
      <c r="C56" s="1008"/>
      <c r="D56" s="1008"/>
      <c r="E56" s="945"/>
    </row>
    <row r="57" spans="3:5" ht="12.75">
      <c r="C57" s="1008"/>
      <c r="D57" s="1008"/>
      <c r="E57" s="945"/>
    </row>
    <row r="58" spans="3:5" ht="13.5" thickBot="1">
      <c r="C58" s="1008"/>
      <c r="D58" s="1008"/>
      <c r="E58" s="945"/>
    </row>
    <row r="59" spans="3:5" ht="13.5" thickBot="1">
      <c r="C59" s="929" t="s">
        <v>1543</v>
      </c>
      <c r="D59" s="994"/>
      <c r="E59" s="995"/>
    </row>
    <row r="60" spans="3:5" ht="12.75">
      <c r="C60" s="996" t="s">
        <v>1120</v>
      </c>
      <c r="D60" s="997"/>
      <c r="E60" s="998"/>
    </row>
    <row r="61" spans="3:5" ht="13.5" thickBot="1">
      <c r="C61" s="999" t="s">
        <v>1123</v>
      </c>
      <c r="D61" s="951" t="s">
        <v>1544</v>
      </c>
      <c r="E61" s="1000">
        <v>5000</v>
      </c>
    </row>
    <row r="62" spans="3:5" ht="13.5" thickBot="1">
      <c r="C62" s="1001" t="s">
        <v>1163</v>
      </c>
      <c r="D62" s="1002"/>
      <c r="E62" s="990">
        <f>SUM(E61:E61)</f>
        <v>5000</v>
      </c>
    </row>
    <row r="63" spans="3:5" ht="12.75">
      <c r="C63" s="1008"/>
      <c r="D63" s="1008"/>
      <c r="E63" s="945"/>
    </row>
    <row r="64" spans="3:5" ht="12.75">
      <c r="C64" s="1008"/>
      <c r="D64" s="1008"/>
      <c r="E64" s="945"/>
    </row>
    <row r="65" spans="3:5" ht="13.5" thickBot="1">
      <c r="C65" s="1008"/>
      <c r="D65" s="1008"/>
      <c r="E65" s="945"/>
    </row>
    <row r="66" spans="3:5" ht="13.5" thickBot="1">
      <c r="C66" s="929" t="s">
        <v>1136</v>
      </c>
      <c r="D66" s="994"/>
      <c r="E66" s="995"/>
    </row>
    <row r="67" spans="3:5" ht="12.75">
      <c r="C67" s="996" t="s">
        <v>1120</v>
      </c>
      <c r="D67" s="997"/>
      <c r="E67" s="998"/>
    </row>
    <row r="68" spans="3:5" ht="12.75">
      <c r="C68" s="999" t="s">
        <v>1129</v>
      </c>
      <c r="D68" s="951" t="s">
        <v>1130</v>
      </c>
      <c r="E68" s="1000">
        <v>4287500</v>
      </c>
    </row>
    <row r="69" spans="3:5" ht="13.5" thickBot="1">
      <c r="C69" s="999" t="s">
        <v>708</v>
      </c>
      <c r="D69" s="951" t="s">
        <v>1147</v>
      </c>
      <c r="E69" s="1000">
        <v>5000</v>
      </c>
    </row>
    <row r="70" spans="3:5" ht="13.5" thickBot="1">
      <c r="C70" s="1001" t="s">
        <v>1165</v>
      </c>
      <c r="D70" s="1002"/>
      <c r="E70" s="990">
        <f>E68+E69</f>
        <v>4292500</v>
      </c>
    </row>
    <row r="71" spans="3:5" ht="12.75">
      <c r="C71" s="1008"/>
      <c r="D71" s="1008"/>
      <c r="E71" s="945"/>
    </row>
    <row r="72" spans="3:5" ht="13.5" thickBot="1">
      <c r="C72" s="1008"/>
      <c r="D72" s="1008"/>
      <c r="E72" s="945"/>
    </row>
    <row r="73" spans="3:5" ht="13.5" thickBot="1">
      <c r="C73" s="929" t="s">
        <v>1152</v>
      </c>
      <c r="D73" s="994"/>
      <c r="E73" s="995"/>
    </row>
    <row r="74" spans="3:5" ht="12.75">
      <c r="C74" s="996" t="s">
        <v>1120</v>
      </c>
      <c r="D74" s="997"/>
      <c r="E74" s="998"/>
    </row>
    <row r="75" spans="3:5" ht="13.5" thickBot="1">
      <c r="C75" s="999" t="s">
        <v>1150</v>
      </c>
      <c r="D75" s="951" t="str">
        <f>D28</f>
        <v>SECRETARIA DE ASSISTENCIA SOCIAL CIDADANIA E HABITAÇÃO</v>
      </c>
      <c r="E75" s="1000">
        <v>45000</v>
      </c>
    </row>
    <row r="76" spans="3:5" ht="13.5" thickBot="1">
      <c r="C76" s="1001" t="s">
        <v>1163</v>
      </c>
      <c r="D76" s="1002"/>
      <c r="E76" s="990">
        <f>E75</f>
        <v>45000</v>
      </c>
    </row>
    <row r="77" spans="3:5" ht="12.75">
      <c r="C77" s="1008"/>
      <c r="D77" s="1008"/>
      <c r="E77" s="945"/>
    </row>
    <row r="78" spans="3:5" ht="13.5" thickBot="1">
      <c r="C78" s="1008"/>
      <c r="D78" s="1008"/>
      <c r="E78" s="945"/>
    </row>
    <row r="79" spans="3:5" ht="13.5" thickBot="1">
      <c r="C79" s="929" t="s">
        <v>1137</v>
      </c>
      <c r="D79" s="994"/>
      <c r="E79" s="995"/>
    </row>
    <row r="80" spans="3:5" ht="12.75">
      <c r="C80" s="996" t="s">
        <v>1120</v>
      </c>
      <c r="D80" s="997"/>
      <c r="E80" s="998"/>
    </row>
    <row r="81" spans="3:5" ht="13.5" thickBot="1">
      <c r="C81" s="999" t="s">
        <v>1129</v>
      </c>
      <c r="D81" s="951" t="s">
        <v>1130</v>
      </c>
      <c r="E81" s="1000">
        <v>20000</v>
      </c>
    </row>
    <row r="82" spans="3:5" ht="13.5" thickBot="1">
      <c r="C82" s="1001" t="s">
        <v>1145</v>
      </c>
      <c r="D82" s="1002"/>
      <c r="E82" s="990">
        <f>SUM(E81:E81)</f>
        <v>20000</v>
      </c>
    </row>
    <row r="83" spans="3:5" ht="12.75">
      <c r="C83" s="1008"/>
      <c r="D83" s="1008"/>
      <c r="E83" s="945"/>
    </row>
    <row r="84" spans="3:5" ht="12.75">
      <c r="C84" s="1008"/>
      <c r="D84" s="1008"/>
      <c r="E84" s="945"/>
    </row>
    <row r="85" spans="3:5" ht="13.5" thickBot="1">
      <c r="C85" s="1008"/>
      <c r="D85" s="1008"/>
      <c r="E85" s="945"/>
    </row>
    <row r="86" spans="3:5" ht="13.5" thickBot="1">
      <c r="C86" s="929" t="s">
        <v>1148</v>
      </c>
      <c r="D86" s="994"/>
      <c r="E86" s="995"/>
    </row>
    <row r="87" spans="3:5" ht="12.75">
      <c r="C87" s="996" t="s">
        <v>1120</v>
      </c>
      <c r="D87" s="997"/>
      <c r="E87" s="998"/>
    </row>
    <row r="88" spans="3:5" ht="13.5" thickBot="1">
      <c r="C88" s="999" t="s">
        <v>708</v>
      </c>
      <c r="D88" s="951" t="s">
        <v>1147</v>
      </c>
      <c r="E88" s="1000">
        <v>513448.2</v>
      </c>
    </row>
    <row r="89" spans="3:5" ht="13.5" thickBot="1">
      <c r="C89" s="1001" t="s">
        <v>1145</v>
      </c>
      <c r="D89" s="1002"/>
      <c r="E89" s="990">
        <f>SUM(E88:E88)</f>
        <v>513448.2</v>
      </c>
    </row>
    <row r="90" spans="3:5" ht="12.75">
      <c r="C90" s="1008"/>
      <c r="D90" s="1008"/>
      <c r="E90" s="945"/>
    </row>
    <row r="91" spans="3:5" ht="12.75">
      <c r="C91" s="1008"/>
      <c r="D91" s="1008"/>
      <c r="E91" s="945"/>
    </row>
    <row r="92" spans="3:5" ht="13.5" thickBot="1">
      <c r="C92" s="1008"/>
      <c r="D92" s="1008"/>
      <c r="E92" s="945"/>
    </row>
    <row r="93" spans="3:5" ht="13.5" thickBot="1">
      <c r="C93" s="929" t="s">
        <v>1146</v>
      </c>
      <c r="D93" s="994"/>
      <c r="E93" s="995"/>
    </row>
    <row r="94" spans="3:5" ht="12.75">
      <c r="C94" s="996" t="s">
        <v>1120</v>
      </c>
      <c r="D94" s="997"/>
      <c r="E94" s="998"/>
    </row>
    <row r="95" spans="3:5" ht="13.5" thickBot="1">
      <c r="C95" s="999" t="s">
        <v>1143</v>
      </c>
      <c r="D95" s="951" t="str">
        <f>D101</f>
        <v>SECRETARIA DE INDÚSTRIA, COMÉRCIO, AGRICULTURA, PESCA, TURISMO E DESPORTO </v>
      </c>
      <c r="E95" s="1000">
        <v>39000</v>
      </c>
    </row>
    <row r="96" spans="3:5" ht="13.5" thickBot="1">
      <c r="C96" s="1001" t="s">
        <v>1164</v>
      </c>
      <c r="D96" s="1002"/>
      <c r="E96" s="990">
        <f>SUM(E95:E95)</f>
        <v>39000</v>
      </c>
    </row>
    <row r="97" spans="3:5" ht="12.75">
      <c r="C97" s="1008"/>
      <c r="D97" s="1008"/>
      <c r="E97" s="945"/>
    </row>
    <row r="98" spans="3:5" ht="13.5" thickBot="1">
      <c r="C98" s="1008"/>
      <c r="D98" s="1008"/>
      <c r="E98" s="945"/>
    </row>
    <row r="99" spans="3:5" ht="13.5" thickBot="1">
      <c r="C99" s="929" t="s">
        <v>1141</v>
      </c>
      <c r="D99" s="994"/>
      <c r="E99" s="995"/>
    </row>
    <row r="100" spans="3:5" ht="12.75">
      <c r="C100" s="996" t="s">
        <v>1120</v>
      </c>
      <c r="D100" s="997"/>
      <c r="E100" s="998"/>
    </row>
    <row r="101" spans="3:5" ht="13.5" thickBot="1">
      <c r="C101" s="999" t="s">
        <v>1143</v>
      </c>
      <c r="D101" s="951" t="s">
        <v>1142</v>
      </c>
      <c r="E101" s="1000">
        <v>995920</v>
      </c>
    </row>
    <row r="102" spans="3:5" ht="13.5" thickBot="1">
      <c r="C102" s="1001" t="s">
        <v>1164</v>
      </c>
      <c r="D102" s="1002"/>
      <c r="E102" s="990">
        <f>SUM(E101:E101)</f>
        <v>995920</v>
      </c>
    </row>
    <row r="103" spans="3:5" ht="12.75">
      <c r="C103" s="1008"/>
      <c r="D103" s="1008"/>
      <c r="E103" s="945"/>
    </row>
    <row r="105" ht="13.5" thickBot="1"/>
    <row r="106" spans="3:5" ht="13.5" thickBot="1">
      <c r="C106" s="929" t="s">
        <v>1135</v>
      </c>
      <c r="D106" s="994"/>
      <c r="E106" s="995"/>
    </row>
    <row r="107" spans="3:5" ht="12.75">
      <c r="C107" s="996" t="s">
        <v>1120</v>
      </c>
      <c r="D107" s="997"/>
      <c r="E107" s="998"/>
    </row>
    <row r="108" spans="3:5" ht="13.5" thickBot="1">
      <c r="C108" s="999" t="s">
        <v>1129</v>
      </c>
      <c r="D108" s="951" t="s">
        <v>1130</v>
      </c>
      <c r="E108" s="1000">
        <v>1074500</v>
      </c>
    </row>
    <row r="109" spans="3:5" ht="13.5" thickBot="1">
      <c r="C109" s="1001" t="s">
        <v>1163</v>
      </c>
      <c r="D109" s="1002"/>
      <c r="E109" s="990">
        <f>SUM(E108:E108)</f>
        <v>1074500</v>
      </c>
    </row>
    <row r="111" ht="13.5" thickBot="1"/>
    <row r="112" spans="3:5" ht="13.5" thickBot="1">
      <c r="C112" s="929" t="s">
        <v>1144</v>
      </c>
      <c r="D112" s="994"/>
      <c r="E112" s="995"/>
    </row>
    <row r="113" spans="3:5" ht="12.75">
      <c r="C113" s="996" t="s">
        <v>1120</v>
      </c>
      <c r="D113" s="997"/>
      <c r="E113" s="998"/>
    </row>
    <row r="114" spans="3:5" ht="13.5" thickBot="1">
      <c r="C114" s="999" t="s">
        <v>1143</v>
      </c>
      <c r="D114" s="951" t="str">
        <f>D101</f>
        <v>SECRETARIA DE INDÚSTRIA, COMÉRCIO, AGRICULTURA, PESCA, TURISMO E DESPORTO </v>
      </c>
      <c r="E114" s="1000">
        <v>85000</v>
      </c>
    </row>
    <row r="115" spans="3:5" ht="13.5" thickBot="1">
      <c r="C115" s="1001" t="s">
        <v>1145</v>
      </c>
      <c r="D115" s="1002"/>
      <c r="E115" s="990">
        <f>SUM(E114:E114)</f>
        <v>85000</v>
      </c>
    </row>
    <row r="118" ht="13.5" thickBot="1"/>
    <row r="119" spans="3:5" ht="13.5" thickBot="1">
      <c r="C119" s="929" t="s">
        <v>1368</v>
      </c>
      <c r="D119" s="994"/>
      <c r="E119" s="995"/>
    </row>
    <row r="120" spans="3:5" ht="12.75">
      <c r="C120" s="996" t="s">
        <v>1120</v>
      </c>
      <c r="D120" s="997"/>
      <c r="E120" s="998"/>
    </row>
    <row r="121" spans="3:5" ht="13.5" thickBot="1">
      <c r="C121" s="999" t="s">
        <v>1156</v>
      </c>
      <c r="D121" s="951" t="s">
        <v>1367</v>
      </c>
      <c r="E121" s="1000">
        <v>1653000</v>
      </c>
    </row>
    <row r="122" spans="3:5" ht="13.5" thickBot="1">
      <c r="C122" s="1001" t="s">
        <v>1145</v>
      </c>
      <c r="D122" s="1002"/>
      <c r="E122" s="990">
        <f>E121</f>
        <v>1653000</v>
      </c>
    </row>
    <row r="125" ht="13.5" thickBot="1"/>
    <row r="126" spans="3:5" ht="13.5" thickBot="1">
      <c r="C126" s="929" t="s">
        <v>1157</v>
      </c>
      <c r="D126" s="994"/>
      <c r="E126" s="995"/>
    </row>
    <row r="127" spans="3:5" ht="12.75">
      <c r="C127" s="996" t="s">
        <v>1120</v>
      </c>
      <c r="D127" s="997"/>
      <c r="E127" s="998"/>
    </row>
    <row r="128" spans="3:5" ht="13.5" thickBot="1">
      <c r="C128" s="999" t="s">
        <v>959</v>
      </c>
      <c r="D128" s="951" t="s">
        <v>1158</v>
      </c>
      <c r="E128" s="1000">
        <v>250000</v>
      </c>
    </row>
    <row r="129" spans="3:5" ht="13.5" thickBot="1">
      <c r="C129" s="1001" t="s">
        <v>1145</v>
      </c>
      <c r="D129" s="1002"/>
      <c r="E129" s="990">
        <f>E128</f>
        <v>250000</v>
      </c>
    </row>
    <row r="132" ht="13.5" thickBot="1"/>
    <row r="133" spans="3:8" ht="13.5" thickBot="1">
      <c r="C133" s="1009" t="s">
        <v>1159</v>
      </c>
      <c r="D133" s="1010"/>
      <c r="E133" s="1011">
        <f>E17+E29+E35+E42+E49+E55+E70+E76+E82+E89+E96+E102+E109+E115+E122+E129+E6+E23+E62</f>
        <v>44849000</v>
      </c>
      <c r="H133" s="1012"/>
    </row>
  </sheetData>
  <sheetProtection/>
  <mergeCells count="38">
    <mergeCell ref="C46:E46"/>
    <mergeCell ref="C49:D49"/>
    <mergeCell ref="C26:E26"/>
    <mergeCell ref="C29:D29"/>
    <mergeCell ref="C20:E20"/>
    <mergeCell ref="C23:D23"/>
    <mergeCell ref="C9:E9"/>
    <mergeCell ref="C17:D17"/>
    <mergeCell ref="C66:E66"/>
    <mergeCell ref="C70:D70"/>
    <mergeCell ref="C79:E79"/>
    <mergeCell ref="C82:D82"/>
    <mergeCell ref="C99:E99"/>
    <mergeCell ref="C102:D102"/>
    <mergeCell ref="C73:E73"/>
    <mergeCell ref="C76:D76"/>
    <mergeCell ref="C93:E93"/>
    <mergeCell ref="C96:D96"/>
    <mergeCell ref="C86:E86"/>
    <mergeCell ref="C89:D89"/>
    <mergeCell ref="C106:E106"/>
    <mergeCell ref="C109:D109"/>
    <mergeCell ref="C119:E119"/>
    <mergeCell ref="C122:D122"/>
    <mergeCell ref="C126:E126"/>
    <mergeCell ref="C129:D129"/>
    <mergeCell ref="C112:E112"/>
    <mergeCell ref="C115:D115"/>
    <mergeCell ref="C59:E59"/>
    <mergeCell ref="C62:D62"/>
    <mergeCell ref="C3:E3"/>
    <mergeCell ref="C6:D6"/>
    <mergeCell ref="C32:E32"/>
    <mergeCell ref="C35:D35"/>
    <mergeCell ref="C52:E52"/>
    <mergeCell ref="C55:D55"/>
    <mergeCell ref="C39:E39"/>
    <mergeCell ref="C42:D42"/>
  </mergeCells>
  <printOptions/>
  <pageMargins left="0.511811024" right="0.511811024" top="0.787401575" bottom="0.787401575" header="0.31496062" footer="0.31496062"/>
  <pageSetup horizontalDpi="600" verticalDpi="600" orientation="landscape" paperSize="9" r:id="rId1"/>
  <headerFooter>
    <oddHeader>&amp;CDemonstrativo da Despesa por órgãos e Funções 
ANEXO 9, da LEI 4.320/64 
L.D.O. EXERCÍCIO 2018
</oddHeader>
  </headerFooter>
  <rowBreaks count="2" manualBreakCount="2">
    <brk id="71" max="255" man="1"/>
    <brk id="10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3:H210"/>
  <sheetViews>
    <sheetView workbookViewId="0" topLeftCell="A180">
      <selection activeCell="B190" sqref="B190:F210"/>
    </sheetView>
  </sheetViews>
  <sheetFormatPr defaultColWidth="9.140625" defaultRowHeight="12.75"/>
  <cols>
    <col min="1" max="1" width="9.140625" style="1014" customWidth="1"/>
    <col min="2" max="2" width="11.7109375" style="1013" bestFit="1" customWidth="1"/>
    <col min="3" max="3" width="65.7109375" style="1014" bestFit="1" customWidth="1"/>
    <col min="4" max="4" width="15.28125" style="1015" bestFit="1" customWidth="1"/>
    <col min="5" max="6" width="16.28125" style="1015" bestFit="1" customWidth="1"/>
    <col min="7" max="7" width="9.140625" style="1014" customWidth="1"/>
    <col min="8" max="8" width="16.8515625" style="1014" bestFit="1" customWidth="1"/>
    <col min="9" max="16384" width="9.140625" style="1014" customWidth="1"/>
  </cols>
  <sheetData>
    <row r="2" ht="13.5" thickBot="1"/>
    <row r="3" spans="2:6" ht="13.5" thickBot="1">
      <c r="B3" s="1016" t="s">
        <v>1166</v>
      </c>
      <c r="C3" s="1017" t="s">
        <v>1167</v>
      </c>
      <c r="D3" s="1018" t="s">
        <v>1168</v>
      </c>
      <c r="E3" s="1018" t="s">
        <v>1169</v>
      </c>
      <c r="F3" s="1019" t="s">
        <v>732</v>
      </c>
    </row>
    <row r="4" spans="2:6" ht="12.75">
      <c r="B4" s="1020" t="s">
        <v>1206</v>
      </c>
      <c r="C4" s="1021" t="s">
        <v>1209</v>
      </c>
      <c r="D4" s="1022">
        <f aca="true" t="shared" si="0" ref="D4:F5">D5</f>
        <v>60000</v>
      </c>
      <c r="E4" s="1022">
        <f t="shared" si="0"/>
        <v>1740000</v>
      </c>
      <c r="F4" s="1023">
        <f t="shared" si="0"/>
        <v>1800000</v>
      </c>
    </row>
    <row r="5" spans="2:6" ht="12.75">
      <c r="B5" s="1020" t="s">
        <v>1207</v>
      </c>
      <c r="C5" s="1021" t="s">
        <v>1210</v>
      </c>
      <c r="D5" s="1022">
        <f t="shared" si="0"/>
        <v>60000</v>
      </c>
      <c r="E5" s="1022">
        <f t="shared" si="0"/>
        <v>1740000</v>
      </c>
      <c r="F5" s="1023">
        <f t="shared" si="0"/>
        <v>1800000</v>
      </c>
    </row>
    <row r="6" spans="2:6" ht="13.5" thickBot="1">
      <c r="B6" s="1024" t="s">
        <v>1208</v>
      </c>
      <c r="C6" s="1025" t="s">
        <v>1211</v>
      </c>
      <c r="D6" s="1026">
        <v>60000</v>
      </c>
      <c r="E6" s="1026">
        <v>1740000</v>
      </c>
      <c r="F6" s="1027">
        <f>E6+D6</f>
        <v>1800000</v>
      </c>
    </row>
    <row r="8" ht="13.5" thickBot="1"/>
    <row r="9" spans="2:6" s="1032" customFormat="1" ht="13.5" thickBot="1">
      <c r="B9" s="1028" t="s">
        <v>1166</v>
      </c>
      <c r="C9" s="1029" t="s">
        <v>1167</v>
      </c>
      <c r="D9" s="1030" t="s">
        <v>1168</v>
      </c>
      <c r="E9" s="1030" t="s">
        <v>1169</v>
      </c>
      <c r="F9" s="1031" t="s">
        <v>732</v>
      </c>
    </row>
    <row r="10" spans="2:6" s="1034" customFormat="1" ht="12.75">
      <c r="B10" s="1033" t="s">
        <v>1125</v>
      </c>
      <c r="C10" s="1021" t="s">
        <v>879</v>
      </c>
      <c r="D10" s="1022">
        <f>D11</f>
        <v>60000</v>
      </c>
      <c r="E10" s="1022">
        <f>E11</f>
        <v>3462984</v>
      </c>
      <c r="F10" s="1023">
        <f>F11</f>
        <v>3522984</v>
      </c>
    </row>
    <row r="11" spans="2:6" s="1034" customFormat="1" ht="12.75">
      <c r="B11" s="1020" t="s">
        <v>1170</v>
      </c>
      <c r="C11" s="1021" t="s">
        <v>880</v>
      </c>
      <c r="D11" s="1022">
        <f>SUM(D12:D17)</f>
        <v>60000</v>
      </c>
      <c r="E11" s="1022">
        <f>SUM(E12:E18)</f>
        <v>3462984</v>
      </c>
      <c r="F11" s="1023">
        <f>SUM(F12:F18)</f>
        <v>3522984</v>
      </c>
    </row>
    <row r="12" spans="2:6" ht="12.75">
      <c r="B12" s="1035" t="s">
        <v>1171</v>
      </c>
      <c r="C12" s="1036" t="s">
        <v>1172</v>
      </c>
      <c r="D12" s="1037">
        <v>5000</v>
      </c>
      <c r="E12" s="1037">
        <v>608320</v>
      </c>
      <c r="F12" s="1038">
        <f aca="true" t="shared" si="1" ref="F12:F17">E12+D12</f>
        <v>613320</v>
      </c>
    </row>
    <row r="13" spans="2:6" ht="12.75">
      <c r="B13" s="1039" t="s">
        <v>1173</v>
      </c>
      <c r="C13" s="1040" t="s">
        <v>1174</v>
      </c>
      <c r="D13" s="1037">
        <v>5000</v>
      </c>
      <c r="E13" s="1037">
        <v>440980</v>
      </c>
      <c r="F13" s="1038">
        <f t="shared" si="1"/>
        <v>445980</v>
      </c>
    </row>
    <row r="14" spans="2:6" ht="12.75">
      <c r="B14" s="1039" t="s">
        <v>1175</v>
      </c>
      <c r="C14" s="1040" t="s">
        <v>1176</v>
      </c>
      <c r="D14" s="1037">
        <v>5000</v>
      </c>
      <c r="E14" s="1037">
        <v>844040</v>
      </c>
      <c r="F14" s="1038">
        <f t="shared" si="1"/>
        <v>849040</v>
      </c>
    </row>
    <row r="15" spans="2:6" ht="12.75">
      <c r="B15" s="1039" t="s">
        <v>1177</v>
      </c>
      <c r="C15" s="1040" t="s">
        <v>1178</v>
      </c>
      <c r="D15" s="1037">
        <v>5000</v>
      </c>
      <c r="E15" s="1037">
        <v>637524</v>
      </c>
      <c r="F15" s="1038">
        <f t="shared" si="1"/>
        <v>642524</v>
      </c>
    </row>
    <row r="16" spans="2:6" ht="12.75">
      <c r="B16" s="1039" t="s">
        <v>1179</v>
      </c>
      <c r="C16" s="1040" t="s">
        <v>1180</v>
      </c>
      <c r="D16" s="1037">
        <v>40000</v>
      </c>
      <c r="E16" s="1037">
        <v>622120</v>
      </c>
      <c r="F16" s="1038">
        <f t="shared" si="1"/>
        <v>662120</v>
      </c>
    </row>
    <row r="17" spans="2:6" ht="12.75">
      <c r="B17" s="1039" t="s">
        <v>1181</v>
      </c>
      <c r="C17" s="1040" t="s">
        <v>1182</v>
      </c>
      <c r="D17" s="1037">
        <v>0</v>
      </c>
      <c r="E17" s="1037">
        <v>110000</v>
      </c>
      <c r="F17" s="1038">
        <f t="shared" si="1"/>
        <v>110000</v>
      </c>
    </row>
    <row r="18" spans="2:6" s="948" customFormat="1" ht="12.75">
      <c r="B18" s="1041" t="s">
        <v>1500</v>
      </c>
      <c r="C18" s="944" t="s">
        <v>1502</v>
      </c>
      <c r="D18" s="1042">
        <f>D19</f>
        <v>0</v>
      </c>
      <c r="E18" s="1042">
        <f>E19</f>
        <v>200000</v>
      </c>
      <c r="F18" s="1043">
        <f>F19</f>
        <v>200000</v>
      </c>
    </row>
    <row r="19" spans="2:6" ht="13.5" thickBot="1">
      <c r="B19" s="1024" t="s">
        <v>1501</v>
      </c>
      <c r="C19" s="1025" t="s">
        <v>1503</v>
      </c>
      <c r="D19" s="1026">
        <v>0</v>
      </c>
      <c r="E19" s="1026">
        <v>200000</v>
      </c>
      <c r="F19" s="1027">
        <f>E19</f>
        <v>200000</v>
      </c>
    </row>
    <row r="20" spans="2:6" ht="12.75">
      <c r="B20" s="1044"/>
      <c r="C20" s="1040"/>
      <c r="D20" s="1037"/>
      <c r="E20" s="1037"/>
      <c r="F20" s="1037"/>
    </row>
    <row r="21" spans="2:6" ht="12.75">
      <c r="B21" s="1044"/>
      <c r="C21" s="1040"/>
      <c r="D21" s="1037"/>
      <c r="E21" s="1037"/>
      <c r="F21" s="1037"/>
    </row>
    <row r="22" spans="2:6" ht="13.5" thickBot="1">
      <c r="B22" s="1044"/>
      <c r="C22" s="1040"/>
      <c r="D22" s="1037"/>
      <c r="E22" s="1037"/>
      <c r="F22" s="1037"/>
    </row>
    <row r="23" spans="2:6" s="1032" customFormat="1" ht="13.5" thickBot="1">
      <c r="B23" s="1045" t="s">
        <v>1166</v>
      </c>
      <c r="C23" s="1046" t="s">
        <v>1167</v>
      </c>
      <c r="D23" s="1018" t="s">
        <v>1168</v>
      </c>
      <c r="E23" s="1018" t="s">
        <v>1169</v>
      </c>
      <c r="F23" s="1019" t="s">
        <v>732</v>
      </c>
    </row>
    <row r="24" spans="2:6" s="1034" customFormat="1" ht="12.75">
      <c r="B24" s="1020" t="s">
        <v>1132</v>
      </c>
      <c r="C24" s="1021" t="s">
        <v>1183</v>
      </c>
      <c r="D24" s="1022">
        <v>0</v>
      </c>
      <c r="E24" s="1022">
        <f>E25</f>
        <v>40000</v>
      </c>
      <c r="F24" s="1023">
        <f>F25</f>
        <v>40000</v>
      </c>
    </row>
    <row r="25" spans="2:6" s="1034" customFormat="1" ht="12.75">
      <c r="B25" s="1020" t="s">
        <v>1184</v>
      </c>
      <c r="C25" s="1021" t="s">
        <v>1185</v>
      </c>
      <c r="D25" s="1022">
        <v>0</v>
      </c>
      <c r="E25" s="1022">
        <f>E26</f>
        <v>40000</v>
      </c>
      <c r="F25" s="1023">
        <f>F26</f>
        <v>40000</v>
      </c>
    </row>
    <row r="26" spans="2:6" ht="13.5" thickBot="1">
      <c r="B26" s="1024" t="s">
        <v>1186</v>
      </c>
      <c r="C26" s="1025" t="s">
        <v>1187</v>
      </c>
      <c r="D26" s="1026">
        <v>0</v>
      </c>
      <c r="E26" s="1026">
        <v>40000</v>
      </c>
      <c r="F26" s="1027">
        <f>E26</f>
        <v>40000</v>
      </c>
    </row>
    <row r="27" ht="13.5" thickBot="1"/>
    <row r="28" spans="2:6" ht="13.5" thickBot="1">
      <c r="B28" s="1016" t="s">
        <v>1166</v>
      </c>
      <c r="C28" s="1047" t="s">
        <v>1167</v>
      </c>
      <c r="D28" s="1048" t="s">
        <v>1168</v>
      </c>
      <c r="E28" s="1019" t="s">
        <v>1169</v>
      </c>
      <c r="F28" s="1031" t="s">
        <v>732</v>
      </c>
    </row>
    <row r="29" spans="2:6" ht="12.75">
      <c r="B29" s="1020" t="s">
        <v>1139</v>
      </c>
      <c r="C29" s="1021" t="s">
        <v>1372</v>
      </c>
      <c r="D29" s="1022">
        <f>D30</f>
        <v>0</v>
      </c>
      <c r="E29" s="1022">
        <f>E30</f>
        <v>200000</v>
      </c>
      <c r="F29" s="1023">
        <f>F30</f>
        <v>200000</v>
      </c>
    </row>
    <row r="30" spans="2:6" ht="12.75">
      <c r="B30" s="1020" t="s">
        <v>1369</v>
      </c>
      <c r="C30" s="1021" t="s">
        <v>1373</v>
      </c>
      <c r="D30" s="1022">
        <f>D32+D31</f>
        <v>0</v>
      </c>
      <c r="E30" s="1022">
        <f>E32+E31</f>
        <v>200000</v>
      </c>
      <c r="F30" s="1023">
        <f>F32+F31</f>
        <v>200000</v>
      </c>
    </row>
    <row r="31" spans="2:6" s="1051" customFormat="1" ht="12.75">
      <c r="B31" s="1039" t="s">
        <v>1370</v>
      </c>
      <c r="C31" s="1040" t="s">
        <v>857</v>
      </c>
      <c r="D31" s="1049">
        <v>0</v>
      </c>
      <c r="E31" s="1049">
        <v>197000</v>
      </c>
      <c r="F31" s="1050">
        <f>E31</f>
        <v>197000</v>
      </c>
    </row>
    <row r="32" spans="2:6" ht="13.5" thickBot="1">
      <c r="B32" s="1024" t="s">
        <v>1371</v>
      </c>
      <c r="C32" s="1025" t="s">
        <v>1374</v>
      </c>
      <c r="D32" s="1026">
        <v>0</v>
      </c>
      <c r="E32" s="1026">
        <v>3000</v>
      </c>
      <c r="F32" s="1027">
        <f>E32</f>
        <v>3000</v>
      </c>
    </row>
    <row r="33" spans="2:6" ht="12.75">
      <c r="B33" s="1044"/>
      <c r="C33" s="1040"/>
      <c r="D33" s="1037"/>
      <c r="E33" s="1037"/>
      <c r="F33" s="1037"/>
    </row>
    <row r="34" spans="2:6" ht="13.5" thickBot="1">
      <c r="B34" s="1044"/>
      <c r="C34" s="1040"/>
      <c r="D34" s="1037"/>
      <c r="E34" s="1037"/>
      <c r="F34" s="1037"/>
    </row>
    <row r="35" spans="2:6" ht="13.5" thickBot="1">
      <c r="B35" s="1028" t="s">
        <v>1166</v>
      </c>
      <c r="C35" s="1052" t="s">
        <v>1167</v>
      </c>
      <c r="D35" s="1048" t="s">
        <v>1168</v>
      </c>
      <c r="E35" s="1018" t="s">
        <v>1169</v>
      </c>
      <c r="F35" s="1019" t="s">
        <v>732</v>
      </c>
    </row>
    <row r="36" spans="2:6" ht="12.75">
      <c r="B36" s="1053" t="s">
        <v>1139</v>
      </c>
      <c r="C36" s="1054" t="s">
        <v>1372</v>
      </c>
      <c r="D36" s="1055">
        <f>D37</f>
        <v>89000</v>
      </c>
      <c r="E36" s="1055">
        <f>E37</f>
        <v>1769000</v>
      </c>
      <c r="F36" s="1056">
        <f>F37</f>
        <v>1858000</v>
      </c>
    </row>
    <row r="37" spans="2:6" ht="12.75">
      <c r="B37" s="1020" t="s">
        <v>1376</v>
      </c>
      <c r="C37" s="1021" t="s">
        <v>1377</v>
      </c>
      <c r="D37" s="1022">
        <f>SUM(D38:D45)</f>
        <v>89000</v>
      </c>
      <c r="E37" s="1022">
        <f>SUM(E38:E45)</f>
        <v>1769000</v>
      </c>
      <c r="F37" s="1023">
        <f>SUM(F38:F45)</f>
        <v>1858000</v>
      </c>
    </row>
    <row r="38" spans="2:6" s="1051" customFormat="1" ht="12.75">
      <c r="B38" s="1039" t="s">
        <v>1378</v>
      </c>
      <c r="C38" s="1040" t="s">
        <v>1227</v>
      </c>
      <c r="D38" s="1049">
        <v>0</v>
      </c>
      <c r="E38" s="1049">
        <v>1323000</v>
      </c>
      <c r="F38" s="1050">
        <f>E38+D38</f>
        <v>1323000</v>
      </c>
    </row>
    <row r="39" spans="2:6" s="1051" customFormat="1" ht="12.75">
      <c r="B39" s="1039" t="s">
        <v>1379</v>
      </c>
      <c r="C39" s="1040" t="s">
        <v>1380</v>
      </c>
      <c r="D39" s="1049">
        <v>0</v>
      </c>
      <c r="E39" s="1049">
        <v>69000</v>
      </c>
      <c r="F39" s="1050">
        <f aca="true" t="shared" si="2" ref="F39:F45">E39+D39</f>
        <v>69000</v>
      </c>
    </row>
    <row r="40" spans="2:6" s="1051" customFormat="1" ht="12.75">
      <c r="B40" s="1039" t="s">
        <v>1381</v>
      </c>
      <c r="C40" s="1040" t="s">
        <v>1382</v>
      </c>
      <c r="D40" s="1049">
        <v>10000</v>
      </c>
      <c r="E40" s="1049">
        <v>20000</v>
      </c>
      <c r="F40" s="1050">
        <f t="shared" si="2"/>
        <v>30000</v>
      </c>
    </row>
    <row r="41" spans="2:6" s="1051" customFormat="1" ht="12.75">
      <c r="B41" s="1039" t="s">
        <v>1411</v>
      </c>
      <c r="C41" s="1040" t="s">
        <v>853</v>
      </c>
      <c r="D41" s="1049">
        <v>79000</v>
      </c>
      <c r="E41" s="1049">
        <v>153000</v>
      </c>
      <c r="F41" s="1050">
        <f t="shared" si="2"/>
        <v>232000</v>
      </c>
    </row>
    <row r="42" spans="2:6" s="1051" customFormat="1" ht="12.75">
      <c r="B42" s="1039" t="s">
        <v>1412</v>
      </c>
      <c r="C42" s="1040" t="s">
        <v>1274</v>
      </c>
      <c r="D42" s="1049">
        <v>0</v>
      </c>
      <c r="E42" s="1049">
        <v>50000</v>
      </c>
      <c r="F42" s="1050">
        <f t="shared" si="2"/>
        <v>50000</v>
      </c>
    </row>
    <row r="43" spans="2:6" s="1051" customFormat="1" ht="12.75">
      <c r="B43" s="1039" t="s">
        <v>1413</v>
      </c>
      <c r="C43" s="1040" t="s">
        <v>1275</v>
      </c>
      <c r="D43" s="1049">
        <v>0</v>
      </c>
      <c r="E43" s="1049">
        <v>30000</v>
      </c>
      <c r="F43" s="1050">
        <f t="shared" si="2"/>
        <v>30000</v>
      </c>
    </row>
    <row r="44" spans="2:6" s="1051" customFormat="1" ht="12.75">
      <c r="B44" s="1039" t="s">
        <v>1414</v>
      </c>
      <c r="C44" s="1040" t="s">
        <v>1416</v>
      </c>
      <c r="D44" s="1049">
        <v>0</v>
      </c>
      <c r="E44" s="1049">
        <v>54000</v>
      </c>
      <c r="F44" s="1050">
        <f t="shared" si="2"/>
        <v>54000</v>
      </c>
    </row>
    <row r="45" spans="2:6" s="1051" customFormat="1" ht="13.5" thickBot="1">
      <c r="B45" s="1024" t="s">
        <v>1415</v>
      </c>
      <c r="C45" s="1025" t="s">
        <v>1417</v>
      </c>
      <c r="D45" s="1057">
        <v>0</v>
      </c>
      <c r="E45" s="1057">
        <v>70000</v>
      </c>
      <c r="F45" s="1058">
        <f t="shared" si="2"/>
        <v>70000</v>
      </c>
    </row>
    <row r="46" spans="2:6" s="1051" customFormat="1" ht="12.75">
      <c r="B46" s="1044"/>
      <c r="C46" s="1040"/>
      <c r="D46" s="1049"/>
      <c r="E46" s="1049"/>
      <c r="F46" s="1049"/>
    </row>
    <row r="47" spans="2:6" s="1051" customFormat="1" ht="12.75">
      <c r="B47" s="1044"/>
      <c r="C47" s="1040"/>
      <c r="D47" s="1049"/>
      <c r="E47" s="1049"/>
      <c r="F47" s="1049"/>
    </row>
    <row r="48" spans="2:6" s="1051" customFormat="1" ht="13.5" thickBot="1">
      <c r="B48" s="1044"/>
      <c r="C48" s="1040"/>
      <c r="D48" s="1049"/>
      <c r="E48" s="1049"/>
      <c r="F48" s="1049"/>
    </row>
    <row r="49" spans="2:6" s="1051" customFormat="1" ht="13.5" thickBot="1">
      <c r="B49" s="1016" t="s">
        <v>1166</v>
      </c>
      <c r="C49" s="1047" t="s">
        <v>1167</v>
      </c>
      <c r="D49" s="1048" t="s">
        <v>1168</v>
      </c>
      <c r="E49" s="1019" t="s">
        <v>1169</v>
      </c>
      <c r="F49" s="1031" t="s">
        <v>732</v>
      </c>
    </row>
    <row r="50" spans="2:6" s="1051" customFormat="1" ht="12.75">
      <c r="B50" s="1020" t="s">
        <v>1139</v>
      </c>
      <c r="C50" s="1021" t="s">
        <v>1372</v>
      </c>
      <c r="D50" s="1022">
        <f>D51</f>
        <v>0</v>
      </c>
      <c r="E50" s="1022">
        <f>E51</f>
        <v>10000</v>
      </c>
      <c r="F50" s="1023">
        <f>F51</f>
        <v>10000</v>
      </c>
    </row>
    <row r="51" spans="2:6" s="1051" customFormat="1" ht="12.75">
      <c r="B51" s="1020" t="s">
        <v>1418</v>
      </c>
      <c r="C51" s="1021" t="s">
        <v>1419</v>
      </c>
      <c r="D51" s="1022">
        <f>D59+D52</f>
        <v>0</v>
      </c>
      <c r="E51" s="1022">
        <f>E59+E52</f>
        <v>10000</v>
      </c>
      <c r="F51" s="1023">
        <f>F59+F52</f>
        <v>10000</v>
      </c>
    </row>
    <row r="52" spans="2:6" s="1051" customFormat="1" ht="13.5" thickBot="1">
      <c r="B52" s="1024" t="s">
        <v>1420</v>
      </c>
      <c r="C52" s="1025" t="s">
        <v>1382</v>
      </c>
      <c r="D52" s="1057">
        <v>0</v>
      </c>
      <c r="E52" s="1057">
        <v>10000</v>
      </c>
      <c r="F52" s="1058">
        <f>E52</f>
        <v>10000</v>
      </c>
    </row>
    <row r="53" spans="2:6" s="1051" customFormat="1" ht="12.75">
      <c r="B53" s="1044"/>
      <c r="C53" s="1040"/>
      <c r="D53" s="1049"/>
      <c r="E53" s="1049"/>
      <c r="F53" s="1049"/>
    </row>
    <row r="54" spans="2:6" s="1051" customFormat="1" ht="13.5" thickBot="1">
      <c r="B54" s="1044"/>
      <c r="C54" s="1040"/>
      <c r="D54" s="1049"/>
      <c r="E54" s="1049"/>
      <c r="F54" s="1049"/>
    </row>
    <row r="55" spans="2:6" s="1051" customFormat="1" ht="13.5" thickBot="1">
      <c r="B55" s="1016" t="s">
        <v>1166</v>
      </c>
      <c r="C55" s="1047" t="s">
        <v>1167</v>
      </c>
      <c r="D55" s="1048" t="s">
        <v>1168</v>
      </c>
      <c r="E55" s="1019" t="s">
        <v>1169</v>
      </c>
      <c r="F55" s="1031" t="s">
        <v>732</v>
      </c>
    </row>
    <row r="56" spans="2:6" s="1051" customFormat="1" ht="12.75">
      <c r="B56" s="1020" t="s">
        <v>1364</v>
      </c>
      <c r="C56" s="1021" t="s">
        <v>1423</v>
      </c>
      <c r="D56" s="1022">
        <f aca="true" t="shared" si="3" ref="D56:F57">D57</f>
        <v>0</v>
      </c>
      <c r="E56" s="1022">
        <f t="shared" si="3"/>
        <v>45000</v>
      </c>
      <c r="F56" s="1023">
        <f t="shared" si="3"/>
        <v>45000</v>
      </c>
    </row>
    <row r="57" spans="2:6" s="1051" customFormat="1" ht="12.75">
      <c r="B57" s="1020" t="s">
        <v>1421</v>
      </c>
      <c r="C57" s="1021" t="s">
        <v>1424</v>
      </c>
      <c r="D57" s="1022">
        <f t="shared" si="3"/>
        <v>0</v>
      </c>
      <c r="E57" s="1022">
        <f t="shared" si="3"/>
        <v>45000</v>
      </c>
      <c r="F57" s="1023">
        <f t="shared" si="3"/>
        <v>45000</v>
      </c>
    </row>
    <row r="58" spans="2:6" s="1051" customFormat="1" ht="13.5" thickBot="1">
      <c r="B58" s="1024" t="s">
        <v>1422</v>
      </c>
      <c r="C58" s="1025" t="s">
        <v>1425</v>
      </c>
      <c r="D58" s="1057">
        <v>0</v>
      </c>
      <c r="E58" s="1057">
        <v>45000</v>
      </c>
      <c r="F58" s="1058">
        <f>E58</f>
        <v>45000</v>
      </c>
    </row>
    <row r="59" spans="2:6" s="1051" customFormat="1" ht="12.75">
      <c r="B59" s="1044"/>
      <c r="C59" s="1040"/>
      <c r="D59" s="1049"/>
      <c r="E59" s="1049"/>
      <c r="F59" s="1049"/>
    </row>
    <row r="60" spans="2:6" ht="12.75">
      <c r="B60" s="1044"/>
      <c r="C60" s="1040"/>
      <c r="D60" s="1037"/>
      <c r="E60" s="1037"/>
      <c r="F60" s="1037"/>
    </row>
    <row r="61" ht="13.5" thickBot="1"/>
    <row r="62" spans="2:6" ht="13.5" thickBot="1">
      <c r="B62" s="1016" t="s">
        <v>1166</v>
      </c>
      <c r="C62" s="1017" t="s">
        <v>1167</v>
      </c>
      <c r="D62" s="1018" t="s">
        <v>1168</v>
      </c>
      <c r="E62" s="1018" t="s">
        <v>1169</v>
      </c>
      <c r="F62" s="1019" t="s">
        <v>732</v>
      </c>
    </row>
    <row r="63" spans="2:6" ht="12.75">
      <c r="B63" s="1020" t="s">
        <v>1143</v>
      </c>
      <c r="C63" s="1021"/>
      <c r="D63" s="1022">
        <f aca="true" t="shared" si="4" ref="D63:F64">D64</f>
        <v>0</v>
      </c>
      <c r="E63" s="1022">
        <f t="shared" si="4"/>
        <v>4400000</v>
      </c>
      <c r="F63" s="1023">
        <f t="shared" si="4"/>
        <v>4400000</v>
      </c>
    </row>
    <row r="64" spans="2:6" ht="12.75">
      <c r="B64" s="1020" t="s">
        <v>1212</v>
      </c>
      <c r="C64" s="1021"/>
      <c r="D64" s="1022">
        <f t="shared" si="4"/>
        <v>0</v>
      </c>
      <c r="E64" s="1022">
        <f t="shared" si="4"/>
        <v>4400000</v>
      </c>
      <c r="F64" s="1023">
        <f t="shared" si="4"/>
        <v>4400000</v>
      </c>
    </row>
    <row r="65" spans="2:6" ht="13.5" thickBot="1">
      <c r="B65" s="1024" t="s">
        <v>1213</v>
      </c>
      <c r="C65" s="1025" t="s">
        <v>1375</v>
      </c>
      <c r="D65" s="1026">
        <v>0</v>
      </c>
      <c r="E65" s="1026">
        <v>4400000</v>
      </c>
      <c r="F65" s="1027">
        <f>E65</f>
        <v>4400000</v>
      </c>
    </row>
    <row r="67" ht="13.5" thickBot="1"/>
    <row r="68" spans="2:6" ht="13.5" thickBot="1">
      <c r="B68" s="1016" t="s">
        <v>1166</v>
      </c>
      <c r="C68" s="1047" t="s">
        <v>1167</v>
      </c>
      <c r="D68" s="1048" t="s">
        <v>1168</v>
      </c>
      <c r="E68" s="1019" t="s">
        <v>1169</v>
      </c>
      <c r="F68" s="1031" t="s">
        <v>732</v>
      </c>
    </row>
    <row r="69" spans="2:6" ht="12.75">
      <c r="B69" s="1020" t="s">
        <v>708</v>
      </c>
      <c r="C69" s="1021" t="s">
        <v>1215</v>
      </c>
      <c r="D69" s="1022">
        <f>D70</f>
        <v>0</v>
      </c>
      <c r="E69" s="1022">
        <f>E70</f>
        <v>40000</v>
      </c>
      <c r="F69" s="1023">
        <f>F70</f>
        <v>40000</v>
      </c>
    </row>
    <row r="70" spans="2:6" ht="12.75">
      <c r="B70" s="1020" t="s">
        <v>1214</v>
      </c>
      <c r="C70" s="1021" t="s">
        <v>1216</v>
      </c>
      <c r="D70" s="1022">
        <f>D71+D72</f>
        <v>0</v>
      </c>
      <c r="E70" s="1022">
        <f>E71+E72</f>
        <v>40000</v>
      </c>
      <c r="F70" s="1023">
        <f>F72+F71</f>
        <v>40000</v>
      </c>
    </row>
    <row r="71" spans="2:6" s="1051" customFormat="1" ht="12.75">
      <c r="B71" s="1039" t="s">
        <v>1218</v>
      </c>
      <c r="C71" s="1040" t="s">
        <v>1217</v>
      </c>
      <c r="D71" s="1049">
        <v>0</v>
      </c>
      <c r="E71" s="1049">
        <v>15000</v>
      </c>
      <c r="F71" s="1050">
        <f>E71</f>
        <v>15000</v>
      </c>
    </row>
    <row r="72" spans="2:6" ht="13.5" thickBot="1">
      <c r="B72" s="1024" t="s">
        <v>1219</v>
      </c>
      <c r="C72" s="1025" t="s">
        <v>817</v>
      </c>
      <c r="D72" s="1026">
        <v>0</v>
      </c>
      <c r="E72" s="1026">
        <v>25000</v>
      </c>
      <c r="F72" s="1027">
        <f>E72+D72</f>
        <v>25000</v>
      </c>
    </row>
    <row r="74" ht="13.5" thickBot="1"/>
    <row r="75" spans="2:6" ht="13.5" thickBot="1">
      <c r="B75" s="1016" t="s">
        <v>1166</v>
      </c>
      <c r="C75" s="1047" t="s">
        <v>1167</v>
      </c>
      <c r="D75" s="1048" t="s">
        <v>1168</v>
      </c>
      <c r="E75" s="1019" t="s">
        <v>1169</v>
      </c>
      <c r="F75" s="1031" t="s">
        <v>732</v>
      </c>
    </row>
    <row r="76" spans="2:6" ht="12.75">
      <c r="B76" s="1020" t="s">
        <v>708</v>
      </c>
      <c r="C76" s="1021" t="s">
        <v>1215</v>
      </c>
      <c r="D76" s="1022">
        <f>D77</f>
        <v>0</v>
      </c>
      <c r="E76" s="1022">
        <f>E77</f>
        <v>20000</v>
      </c>
      <c r="F76" s="1023">
        <f>F77</f>
        <v>20000</v>
      </c>
    </row>
    <row r="77" spans="2:6" ht="12.75">
      <c r="B77" s="1020" t="s">
        <v>1220</v>
      </c>
      <c r="C77" s="1021" t="s">
        <v>1223</v>
      </c>
      <c r="D77" s="1022">
        <v>0</v>
      </c>
      <c r="E77" s="1022">
        <f>E78</f>
        <v>20000</v>
      </c>
      <c r="F77" s="1023">
        <f>F78</f>
        <v>20000</v>
      </c>
    </row>
    <row r="78" spans="2:6" ht="13.5" thickBot="1">
      <c r="B78" s="1024" t="s">
        <v>1221</v>
      </c>
      <c r="C78" s="1025" t="s">
        <v>1222</v>
      </c>
      <c r="D78" s="1057">
        <v>0</v>
      </c>
      <c r="E78" s="1057">
        <v>20000</v>
      </c>
      <c r="F78" s="1058">
        <f>E78</f>
        <v>20000</v>
      </c>
    </row>
    <row r="80" ht="13.5" thickBot="1"/>
    <row r="81" spans="2:6" ht="13.5" thickBot="1">
      <c r="B81" s="1016" t="s">
        <v>1166</v>
      </c>
      <c r="C81" s="1047" t="s">
        <v>1167</v>
      </c>
      <c r="D81" s="1048" t="s">
        <v>1168</v>
      </c>
      <c r="E81" s="1019" t="s">
        <v>1169</v>
      </c>
      <c r="F81" s="1031" t="s">
        <v>732</v>
      </c>
    </row>
    <row r="82" spans="2:6" ht="12.75">
      <c r="B82" s="1053" t="s">
        <v>708</v>
      </c>
      <c r="C82" s="1054" t="s">
        <v>1215</v>
      </c>
      <c r="D82" s="1022">
        <f>D83</f>
        <v>235000</v>
      </c>
      <c r="E82" s="1022">
        <f>E83</f>
        <v>5046544.8</v>
      </c>
      <c r="F82" s="1056">
        <f>F83</f>
        <v>5281544.8</v>
      </c>
    </row>
    <row r="83" spans="2:6" ht="12.75">
      <c r="B83" s="1020" t="s">
        <v>1224</v>
      </c>
      <c r="C83" s="1021" t="s">
        <v>1225</v>
      </c>
      <c r="D83" s="1022">
        <f>SUM(D84:D94)</f>
        <v>235000</v>
      </c>
      <c r="E83" s="1022">
        <f>SUM(E84:E94)</f>
        <v>5046544.8</v>
      </c>
      <c r="F83" s="1023">
        <f>SUM(F84:F94)</f>
        <v>5281544.8</v>
      </c>
    </row>
    <row r="84" spans="2:6" ht="12.75">
      <c r="B84" s="1039" t="s">
        <v>1226</v>
      </c>
      <c r="C84" s="1040" t="s">
        <v>993</v>
      </c>
      <c r="D84" s="1049">
        <v>0</v>
      </c>
      <c r="E84" s="1049">
        <v>861344.8</v>
      </c>
      <c r="F84" s="1050">
        <f>SUM(D84:E84)</f>
        <v>861344.8</v>
      </c>
    </row>
    <row r="85" spans="2:6" ht="12.75">
      <c r="B85" s="1039" t="s">
        <v>1438</v>
      </c>
      <c r="C85" s="1040" t="s">
        <v>1380</v>
      </c>
      <c r="D85" s="1049">
        <v>0</v>
      </c>
      <c r="E85" s="1049">
        <v>3000</v>
      </c>
      <c r="F85" s="1050">
        <f aca="true" t="shared" si="5" ref="F85:F94">SUM(D85:E85)</f>
        <v>3000</v>
      </c>
    </row>
    <row r="86" spans="2:6" ht="12.75">
      <c r="B86" s="1039" t="s">
        <v>1228</v>
      </c>
      <c r="C86" s="1040" t="s">
        <v>807</v>
      </c>
      <c r="D86" s="1049">
        <v>0</v>
      </c>
      <c r="E86" s="1049">
        <v>2911000</v>
      </c>
      <c r="F86" s="1050">
        <f t="shared" si="5"/>
        <v>2911000</v>
      </c>
    </row>
    <row r="87" spans="2:6" ht="12.75">
      <c r="B87" s="1039" t="s">
        <v>1229</v>
      </c>
      <c r="C87" s="1040" t="s">
        <v>1439</v>
      </c>
      <c r="D87" s="1049">
        <v>235000</v>
      </c>
      <c r="E87" s="1049">
        <v>400000</v>
      </c>
      <c r="F87" s="1050">
        <f t="shared" si="5"/>
        <v>635000</v>
      </c>
    </row>
    <row r="88" spans="2:6" ht="12.75">
      <c r="B88" s="1039" t="s">
        <v>1230</v>
      </c>
      <c r="C88" s="1040" t="s">
        <v>811</v>
      </c>
      <c r="D88" s="1049">
        <v>0</v>
      </c>
      <c r="E88" s="1049">
        <v>360000</v>
      </c>
      <c r="F88" s="1050">
        <f t="shared" si="5"/>
        <v>360000</v>
      </c>
    </row>
    <row r="89" spans="2:6" ht="12.75">
      <c r="B89" s="1039" t="s">
        <v>1231</v>
      </c>
      <c r="C89" s="1040" t="s">
        <v>813</v>
      </c>
      <c r="D89" s="1049">
        <v>0</v>
      </c>
      <c r="E89" s="1049">
        <v>96000</v>
      </c>
      <c r="F89" s="1050">
        <f t="shared" si="5"/>
        <v>96000</v>
      </c>
    </row>
    <row r="90" spans="2:6" ht="12.75">
      <c r="B90" s="1039" t="s">
        <v>1232</v>
      </c>
      <c r="C90" s="1040" t="s">
        <v>1440</v>
      </c>
      <c r="D90" s="1049">
        <v>0</v>
      </c>
      <c r="E90" s="1049">
        <v>239000</v>
      </c>
      <c r="F90" s="1050">
        <f t="shared" si="5"/>
        <v>239000</v>
      </c>
    </row>
    <row r="91" spans="2:6" ht="12.75">
      <c r="B91" s="1039" t="s">
        <v>1233</v>
      </c>
      <c r="C91" s="1040" t="s">
        <v>815</v>
      </c>
      <c r="D91" s="1049"/>
      <c r="E91" s="1049">
        <v>67200</v>
      </c>
      <c r="F91" s="1050">
        <f>E91</f>
        <v>67200</v>
      </c>
    </row>
    <row r="92" spans="2:6" ht="12.75">
      <c r="B92" s="1039" t="s">
        <v>1441</v>
      </c>
      <c r="C92" s="1040" t="s">
        <v>1442</v>
      </c>
      <c r="D92" s="1049">
        <v>0</v>
      </c>
      <c r="E92" s="1049">
        <v>30000</v>
      </c>
      <c r="F92" s="1050">
        <f t="shared" si="5"/>
        <v>30000</v>
      </c>
    </row>
    <row r="93" spans="2:6" ht="12.75">
      <c r="B93" s="1039" t="s">
        <v>1443</v>
      </c>
      <c r="C93" s="1040" t="s">
        <v>824</v>
      </c>
      <c r="D93" s="1049">
        <v>0</v>
      </c>
      <c r="E93" s="1049">
        <v>59000</v>
      </c>
      <c r="F93" s="1050">
        <f t="shared" si="5"/>
        <v>59000</v>
      </c>
    </row>
    <row r="94" spans="2:6" ht="13.5" thickBot="1">
      <c r="B94" s="1024" t="s">
        <v>1444</v>
      </c>
      <c r="C94" s="1025" t="s">
        <v>825</v>
      </c>
      <c r="D94" s="1057">
        <v>0</v>
      </c>
      <c r="E94" s="1057">
        <v>20000</v>
      </c>
      <c r="F94" s="1058">
        <f t="shared" si="5"/>
        <v>20000</v>
      </c>
    </row>
    <row r="95" spans="2:6" ht="12.75">
      <c r="B95" s="1044"/>
      <c r="C95" s="1040"/>
      <c r="D95" s="1049"/>
      <c r="E95" s="1049"/>
      <c r="F95" s="1049"/>
    </row>
    <row r="96" spans="2:6" ht="13.5" thickBot="1">
      <c r="B96" s="1044"/>
      <c r="C96" s="1040"/>
      <c r="D96" s="1049"/>
      <c r="E96" s="1049"/>
      <c r="F96" s="1049"/>
    </row>
    <row r="97" spans="2:6" ht="13.5" thickBot="1">
      <c r="B97" s="1016" t="s">
        <v>1166</v>
      </c>
      <c r="C97" s="1047" t="s">
        <v>1167</v>
      </c>
      <c r="D97" s="1048" t="s">
        <v>1168</v>
      </c>
      <c r="E97" s="1019" t="s">
        <v>1169</v>
      </c>
      <c r="F97" s="1031" t="s">
        <v>732</v>
      </c>
    </row>
    <row r="98" spans="2:6" ht="12.75">
      <c r="B98" s="1020" t="s">
        <v>708</v>
      </c>
      <c r="C98" s="1021" t="s">
        <v>1215</v>
      </c>
      <c r="D98" s="1022">
        <f aca="true" t="shared" si="6" ref="D98:F99">D99</f>
        <v>120000</v>
      </c>
      <c r="E98" s="1022">
        <f t="shared" si="6"/>
        <v>3324400</v>
      </c>
      <c r="F98" s="1023">
        <f t="shared" si="6"/>
        <v>3444400</v>
      </c>
    </row>
    <row r="99" spans="2:6" ht="12.75">
      <c r="B99" s="1020" t="s">
        <v>1234</v>
      </c>
      <c r="C99" s="1021" t="s">
        <v>1445</v>
      </c>
      <c r="D99" s="1022">
        <f t="shared" si="6"/>
        <v>120000</v>
      </c>
      <c r="E99" s="1022">
        <f t="shared" si="6"/>
        <v>3324400</v>
      </c>
      <c r="F99" s="1023">
        <f t="shared" si="6"/>
        <v>3444400</v>
      </c>
    </row>
    <row r="100" spans="2:6" ht="13.5" thickBot="1">
      <c r="B100" s="1024" t="s">
        <v>1235</v>
      </c>
      <c r="C100" s="1025" t="s">
        <v>1236</v>
      </c>
      <c r="D100" s="1057">
        <v>120000</v>
      </c>
      <c r="E100" s="1057">
        <v>3324400</v>
      </c>
      <c r="F100" s="1058">
        <f>E100+D100</f>
        <v>3444400</v>
      </c>
    </row>
    <row r="103" ht="13.5" thickBot="1"/>
    <row r="104" spans="2:6" ht="13.5" thickBot="1">
      <c r="B104" s="1016" t="s">
        <v>1166</v>
      </c>
      <c r="C104" s="1047" t="s">
        <v>1167</v>
      </c>
      <c r="D104" s="1048" t="s">
        <v>1168</v>
      </c>
      <c r="E104" s="1019" t="s">
        <v>1169</v>
      </c>
      <c r="F104" s="1031" t="s">
        <v>732</v>
      </c>
    </row>
    <row r="105" spans="2:6" ht="12.75">
      <c r="B105" s="1053" t="s">
        <v>1446</v>
      </c>
      <c r="C105" s="1054" t="s">
        <v>1447</v>
      </c>
      <c r="D105" s="1022">
        <f>D106</f>
        <v>1318380.04</v>
      </c>
      <c r="E105" s="1022">
        <f>E106</f>
        <v>10398000</v>
      </c>
      <c r="F105" s="1056">
        <f>F106</f>
        <v>11716380.04</v>
      </c>
    </row>
    <row r="106" spans="2:6" ht="12.75">
      <c r="B106" s="1020" t="s">
        <v>1448</v>
      </c>
      <c r="C106" s="1021" t="s">
        <v>1449</v>
      </c>
      <c r="D106" s="1022">
        <f>SUM(D107:D111)</f>
        <v>1318380.04</v>
      </c>
      <c r="E106" s="1022">
        <f>SUM(E107:E111)</f>
        <v>10398000</v>
      </c>
      <c r="F106" s="1023">
        <f>SUM(F107:F111)</f>
        <v>11716380.04</v>
      </c>
    </row>
    <row r="107" spans="2:6" ht="12.75">
      <c r="B107" s="1039" t="s">
        <v>1450</v>
      </c>
      <c r="C107" s="1040" t="s">
        <v>1451</v>
      </c>
      <c r="D107" s="1049">
        <v>542380.04</v>
      </c>
      <c r="E107" s="1049">
        <v>1020000</v>
      </c>
      <c r="F107" s="1050">
        <f>SUM(D107:E107)</f>
        <v>1562380.04</v>
      </c>
    </row>
    <row r="108" spans="2:6" ht="12.75">
      <c r="B108" s="1039" t="s">
        <v>1452</v>
      </c>
      <c r="C108" s="1040" t="s">
        <v>1449</v>
      </c>
      <c r="D108" s="1049">
        <v>156000</v>
      </c>
      <c r="E108" s="1049">
        <v>8508000</v>
      </c>
      <c r="F108" s="1050">
        <f>SUM(D108:E108)</f>
        <v>8664000</v>
      </c>
    </row>
    <row r="109" spans="2:6" ht="12.75">
      <c r="B109" s="1039" t="s">
        <v>1453</v>
      </c>
      <c r="C109" s="1040" t="s">
        <v>1454</v>
      </c>
      <c r="D109" s="1049">
        <v>0</v>
      </c>
      <c r="E109" s="1049">
        <v>40000</v>
      </c>
      <c r="F109" s="1050">
        <f>SUM(D109:E109)</f>
        <v>40000</v>
      </c>
    </row>
    <row r="110" spans="2:6" ht="12.75">
      <c r="B110" s="1039" t="s">
        <v>1455</v>
      </c>
      <c r="C110" s="1040" t="s">
        <v>1456</v>
      </c>
      <c r="D110" s="1049">
        <v>620000</v>
      </c>
      <c r="E110" s="1049">
        <v>0</v>
      </c>
      <c r="F110" s="1050">
        <f>SUM(D110:E110)</f>
        <v>620000</v>
      </c>
    </row>
    <row r="111" spans="2:6" ht="13.5" thickBot="1">
      <c r="B111" s="1024" t="s">
        <v>1457</v>
      </c>
      <c r="C111" s="1025" t="s">
        <v>1458</v>
      </c>
      <c r="D111" s="1057">
        <v>0</v>
      </c>
      <c r="E111" s="1057">
        <v>830000</v>
      </c>
      <c r="F111" s="1058">
        <f>SUM(D111:E111)</f>
        <v>830000</v>
      </c>
    </row>
    <row r="112" spans="2:6" ht="12.75">
      <c r="B112" s="1014"/>
      <c r="D112" s="1014"/>
      <c r="E112" s="1014"/>
      <c r="F112" s="1014"/>
    </row>
    <row r="113" spans="2:6" ht="12.75">
      <c r="B113" s="1014"/>
      <c r="D113" s="1014"/>
      <c r="E113" s="1014"/>
      <c r="F113" s="1014"/>
    </row>
    <row r="114" spans="2:6" ht="13.5" thickBot="1">
      <c r="B114" s="1014"/>
      <c r="D114" s="1014"/>
      <c r="E114" s="1014"/>
      <c r="F114" s="1014"/>
    </row>
    <row r="115" spans="2:6" ht="13.5" thickBot="1">
      <c r="B115" s="1016" t="s">
        <v>1166</v>
      </c>
      <c r="C115" s="1047" t="s">
        <v>1167</v>
      </c>
      <c r="D115" s="1048" t="s">
        <v>1168</v>
      </c>
      <c r="E115" s="1019" t="s">
        <v>1169</v>
      </c>
      <c r="F115" s="1031" t="s">
        <v>732</v>
      </c>
    </row>
    <row r="116" spans="2:6" ht="12.75">
      <c r="B116" s="1020" t="s">
        <v>1446</v>
      </c>
      <c r="C116" s="1021" t="s">
        <v>1447</v>
      </c>
      <c r="D116" s="1022">
        <f aca="true" t="shared" si="7" ref="D116:F117">D117</f>
        <v>0</v>
      </c>
      <c r="E116" s="1022">
        <f t="shared" si="7"/>
        <v>76000</v>
      </c>
      <c r="F116" s="1023">
        <f t="shared" si="7"/>
        <v>76000</v>
      </c>
    </row>
    <row r="117" spans="2:6" ht="12.75">
      <c r="B117" s="1020" t="s">
        <v>1459</v>
      </c>
      <c r="C117" s="1021" t="s">
        <v>1461</v>
      </c>
      <c r="D117" s="1022">
        <f t="shared" si="7"/>
        <v>0</v>
      </c>
      <c r="E117" s="1022">
        <f t="shared" si="7"/>
        <v>76000</v>
      </c>
      <c r="F117" s="1023">
        <f t="shared" si="7"/>
        <v>76000</v>
      </c>
    </row>
    <row r="118" spans="2:6" ht="13.5" thickBot="1">
      <c r="B118" s="1024" t="s">
        <v>1460</v>
      </c>
      <c r="C118" s="1025" t="s">
        <v>1462</v>
      </c>
      <c r="D118" s="1057">
        <v>0</v>
      </c>
      <c r="E118" s="1057">
        <v>76000</v>
      </c>
      <c r="F118" s="1058">
        <f>E118+D118</f>
        <v>76000</v>
      </c>
    </row>
    <row r="121" ht="13.5" thickBot="1"/>
    <row r="122" spans="2:6" ht="13.5" thickBot="1">
      <c r="B122" s="1016" t="s">
        <v>1166</v>
      </c>
      <c r="C122" s="1047" t="s">
        <v>1167</v>
      </c>
      <c r="D122" s="1048" t="s">
        <v>1168</v>
      </c>
      <c r="E122" s="1019" t="s">
        <v>1169</v>
      </c>
      <c r="F122" s="1031" t="s">
        <v>732</v>
      </c>
    </row>
    <row r="123" spans="2:6" ht="12.75">
      <c r="B123" s="1020" t="s">
        <v>1446</v>
      </c>
      <c r="C123" s="1021" t="s">
        <v>1447</v>
      </c>
      <c r="D123" s="1022">
        <f aca="true" t="shared" si="8" ref="D123:F124">D124</f>
        <v>8000</v>
      </c>
      <c r="E123" s="1022">
        <f t="shared" si="8"/>
        <v>3361322.96</v>
      </c>
      <c r="F123" s="1023">
        <f t="shared" si="8"/>
        <v>3369322.96</v>
      </c>
    </row>
    <row r="124" spans="2:6" ht="12.75">
      <c r="B124" s="1020" t="s">
        <v>1463</v>
      </c>
      <c r="C124" s="1021" t="s">
        <v>1465</v>
      </c>
      <c r="D124" s="1022">
        <f t="shared" si="8"/>
        <v>8000</v>
      </c>
      <c r="E124" s="1022">
        <f t="shared" si="8"/>
        <v>3361322.96</v>
      </c>
      <c r="F124" s="1023">
        <f t="shared" si="8"/>
        <v>3369322.96</v>
      </c>
    </row>
    <row r="125" spans="2:6" ht="13.5" thickBot="1">
      <c r="B125" s="1024" t="s">
        <v>1464</v>
      </c>
      <c r="C125" s="1025" t="s">
        <v>1465</v>
      </c>
      <c r="D125" s="1057">
        <v>8000</v>
      </c>
      <c r="E125" s="1057">
        <v>3361322.96</v>
      </c>
      <c r="F125" s="1058">
        <f>E125+D125</f>
        <v>3369322.96</v>
      </c>
    </row>
    <row r="128" ht="13.5" thickBot="1"/>
    <row r="129" spans="2:6" ht="13.5" thickBot="1">
      <c r="B129" s="1016" t="s">
        <v>1166</v>
      </c>
      <c r="C129" s="1047" t="s">
        <v>1167</v>
      </c>
      <c r="D129" s="1048" t="s">
        <v>1168</v>
      </c>
      <c r="E129" s="1019" t="s">
        <v>1169</v>
      </c>
      <c r="F129" s="1031" t="s">
        <v>732</v>
      </c>
    </row>
    <row r="130" spans="2:6" ht="12.75">
      <c r="B130" s="1020" t="s">
        <v>1466</v>
      </c>
      <c r="C130" s="1021" t="s">
        <v>1470</v>
      </c>
      <c r="D130" s="1022">
        <f aca="true" t="shared" si="9" ref="D130:F131">D131</f>
        <v>77000</v>
      </c>
      <c r="E130" s="1022">
        <f t="shared" si="9"/>
        <v>20000</v>
      </c>
      <c r="F130" s="1023">
        <f t="shared" si="9"/>
        <v>97000</v>
      </c>
    </row>
    <row r="131" spans="2:6" ht="12.75">
      <c r="B131" s="1020" t="s">
        <v>1467</v>
      </c>
      <c r="C131" s="1021" t="s">
        <v>1471</v>
      </c>
      <c r="D131" s="1022">
        <f t="shared" si="9"/>
        <v>77000</v>
      </c>
      <c r="E131" s="1022">
        <f t="shared" si="9"/>
        <v>20000</v>
      </c>
      <c r="F131" s="1023">
        <f t="shared" si="9"/>
        <v>97000</v>
      </c>
    </row>
    <row r="132" spans="2:6" ht="13.5" thickBot="1">
      <c r="B132" s="1024" t="s">
        <v>1468</v>
      </c>
      <c r="C132" s="1025" t="s">
        <v>1469</v>
      </c>
      <c r="D132" s="1057">
        <v>77000</v>
      </c>
      <c r="E132" s="1057">
        <v>20000</v>
      </c>
      <c r="F132" s="1058">
        <f>E132+D132</f>
        <v>97000</v>
      </c>
    </row>
    <row r="133" spans="2:6" ht="12.75">
      <c r="B133" s="1044"/>
      <c r="C133" s="1040"/>
      <c r="D133" s="1049"/>
      <c r="E133" s="1049"/>
      <c r="F133" s="1049"/>
    </row>
    <row r="134" spans="2:6" ht="13.5" thickBot="1">
      <c r="B134" s="1044"/>
      <c r="C134" s="1040"/>
      <c r="D134" s="1049"/>
      <c r="E134" s="1049"/>
      <c r="F134" s="1049"/>
    </row>
    <row r="135" spans="2:6" ht="13.5" thickBot="1">
      <c r="B135" s="1016" t="s">
        <v>1166</v>
      </c>
      <c r="C135" s="1047" t="s">
        <v>1167</v>
      </c>
      <c r="D135" s="1048" t="s">
        <v>1168</v>
      </c>
      <c r="E135" s="1019" t="s">
        <v>1169</v>
      </c>
      <c r="F135" s="1031" t="s">
        <v>732</v>
      </c>
    </row>
    <row r="136" spans="2:6" ht="12.75">
      <c r="B136" s="1020" t="s">
        <v>1545</v>
      </c>
      <c r="C136" s="1021" t="s">
        <v>1549</v>
      </c>
      <c r="D136" s="1022">
        <f aca="true" t="shared" si="10" ref="D136:F137">D137</f>
        <v>0</v>
      </c>
      <c r="E136" s="1022">
        <f t="shared" si="10"/>
        <v>5000</v>
      </c>
      <c r="F136" s="1023">
        <f t="shared" si="10"/>
        <v>5000</v>
      </c>
    </row>
    <row r="137" spans="2:6" ht="12.75">
      <c r="B137" s="1020" t="s">
        <v>1546</v>
      </c>
      <c r="C137" s="1021" t="s">
        <v>1419</v>
      </c>
      <c r="D137" s="1022">
        <f t="shared" si="10"/>
        <v>0</v>
      </c>
      <c r="E137" s="1022">
        <f t="shared" si="10"/>
        <v>5000</v>
      </c>
      <c r="F137" s="1023">
        <f t="shared" si="10"/>
        <v>5000</v>
      </c>
    </row>
    <row r="138" spans="2:6" ht="13.5" thickBot="1">
      <c r="B138" s="1024" t="s">
        <v>1547</v>
      </c>
      <c r="C138" s="1025" t="s">
        <v>1548</v>
      </c>
      <c r="D138" s="1057">
        <v>0</v>
      </c>
      <c r="E138" s="1057">
        <v>5000</v>
      </c>
      <c r="F138" s="1058">
        <f>E138+D138</f>
        <v>5000</v>
      </c>
    </row>
    <row r="141" ht="13.5" thickBot="1"/>
    <row r="142" spans="2:6" ht="13.5" thickBot="1">
      <c r="B142" s="1028" t="s">
        <v>1166</v>
      </c>
      <c r="C142" s="1046" t="s">
        <v>1167</v>
      </c>
      <c r="D142" s="1018" t="s">
        <v>1168</v>
      </c>
      <c r="E142" s="1018" t="s">
        <v>1169</v>
      </c>
      <c r="F142" s="1019" t="s">
        <v>732</v>
      </c>
    </row>
    <row r="143" spans="2:6" ht="12.75">
      <c r="B143" s="1020" t="s">
        <v>1472</v>
      </c>
      <c r="C143" s="1021" t="s">
        <v>1473</v>
      </c>
      <c r="D143" s="1022">
        <f>D144+D146</f>
        <v>200000</v>
      </c>
      <c r="E143" s="1022">
        <f>E144+E146</f>
        <v>4092500</v>
      </c>
      <c r="F143" s="1023">
        <f>F144+F146</f>
        <v>4292500</v>
      </c>
    </row>
    <row r="144" spans="2:6" ht="12.75">
      <c r="B144" s="1020" t="s">
        <v>1475</v>
      </c>
      <c r="C144" s="1021" t="s">
        <v>1476</v>
      </c>
      <c r="D144" s="1022">
        <f>D145</f>
        <v>0</v>
      </c>
      <c r="E144" s="1022">
        <f>E145</f>
        <v>5000</v>
      </c>
      <c r="F144" s="1023">
        <f>F145</f>
        <v>5000</v>
      </c>
    </row>
    <row r="145" spans="2:6" s="1051" customFormat="1" ht="12.75">
      <c r="B145" s="1039" t="s">
        <v>1487</v>
      </c>
      <c r="C145" s="1040" t="s">
        <v>1488</v>
      </c>
      <c r="D145" s="1049">
        <v>0</v>
      </c>
      <c r="E145" s="1049">
        <v>5000</v>
      </c>
      <c r="F145" s="1050">
        <f>E145</f>
        <v>5000</v>
      </c>
    </row>
    <row r="146" spans="2:6" s="1034" customFormat="1" ht="12.75">
      <c r="B146" s="1020" t="s">
        <v>1474</v>
      </c>
      <c r="C146" s="1021" t="s">
        <v>1479</v>
      </c>
      <c r="D146" s="1022">
        <f>D147+D148</f>
        <v>200000</v>
      </c>
      <c r="E146" s="1022">
        <f>E147+E148</f>
        <v>4087500</v>
      </c>
      <c r="F146" s="1023">
        <f>F147+F148</f>
        <v>4287500</v>
      </c>
    </row>
    <row r="147" spans="2:6" s="1051" customFormat="1" ht="12.75">
      <c r="B147" s="1039" t="s">
        <v>1477</v>
      </c>
      <c r="C147" s="1040" t="s">
        <v>1480</v>
      </c>
      <c r="D147" s="1049">
        <v>200000</v>
      </c>
      <c r="E147" s="1049">
        <v>2867500</v>
      </c>
      <c r="F147" s="1050">
        <f>E147+D147</f>
        <v>3067500</v>
      </c>
    </row>
    <row r="148" spans="2:6" ht="13.5" thickBot="1">
      <c r="B148" s="1024" t="s">
        <v>1478</v>
      </c>
      <c r="C148" s="1025" t="s">
        <v>1481</v>
      </c>
      <c r="D148" s="1026">
        <v>0</v>
      </c>
      <c r="E148" s="1026">
        <v>1220000</v>
      </c>
      <c r="F148" s="1027">
        <f>E148</f>
        <v>1220000</v>
      </c>
    </row>
    <row r="150" ht="13.5" thickBot="1"/>
    <row r="151" spans="2:6" ht="13.5" thickBot="1">
      <c r="B151" s="1045" t="s">
        <v>1166</v>
      </c>
      <c r="C151" s="1046" t="s">
        <v>1167</v>
      </c>
      <c r="D151" s="1018" t="s">
        <v>1168</v>
      </c>
      <c r="E151" s="1019" t="s">
        <v>1169</v>
      </c>
      <c r="F151" s="1031" t="s">
        <v>732</v>
      </c>
    </row>
    <row r="152" spans="2:6" ht="12.75">
      <c r="B152" s="1020" t="s">
        <v>1156</v>
      </c>
      <c r="C152" s="1021" t="s">
        <v>1482</v>
      </c>
      <c r="D152" s="1022">
        <f aca="true" t="shared" si="11" ref="D152:F153">D153</f>
        <v>0</v>
      </c>
      <c r="E152" s="1022">
        <f t="shared" si="11"/>
        <v>20000</v>
      </c>
      <c r="F152" s="1023">
        <f t="shared" si="11"/>
        <v>20000</v>
      </c>
    </row>
    <row r="153" spans="2:6" ht="12.75">
      <c r="B153" s="1020" t="s">
        <v>1483</v>
      </c>
      <c r="C153" s="1021" t="s">
        <v>1485</v>
      </c>
      <c r="D153" s="1022">
        <f t="shared" si="11"/>
        <v>0</v>
      </c>
      <c r="E153" s="1022">
        <f t="shared" si="11"/>
        <v>20000</v>
      </c>
      <c r="F153" s="1023">
        <f t="shared" si="11"/>
        <v>20000</v>
      </c>
    </row>
    <row r="154" spans="2:6" ht="13.5" thickBot="1">
      <c r="B154" s="1024" t="s">
        <v>1484</v>
      </c>
      <c r="C154" s="1025" t="s">
        <v>1486</v>
      </c>
      <c r="D154" s="1057">
        <v>0</v>
      </c>
      <c r="E154" s="1057">
        <v>20000</v>
      </c>
      <c r="F154" s="1058">
        <f>E154+D154</f>
        <v>20000</v>
      </c>
    </row>
    <row r="157" ht="13.5" thickBot="1"/>
    <row r="158" spans="2:6" ht="13.5" thickBot="1">
      <c r="B158" s="1016" t="s">
        <v>1166</v>
      </c>
      <c r="C158" s="1047" t="s">
        <v>1167</v>
      </c>
      <c r="D158" s="1048" t="s">
        <v>1168</v>
      </c>
      <c r="E158" s="1019" t="s">
        <v>1169</v>
      </c>
      <c r="F158" s="1031" t="s">
        <v>732</v>
      </c>
    </row>
    <row r="159" spans="2:6" ht="12.75">
      <c r="B159" s="1020" t="s">
        <v>1489</v>
      </c>
      <c r="C159" s="1021" t="s">
        <v>1490</v>
      </c>
      <c r="D159" s="1022">
        <f>D160</f>
        <v>0</v>
      </c>
      <c r="E159" s="1022">
        <f>E160</f>
        <v>0</v>
      </c>
      <c r="F159" s="1023">
        <f>F160</f>
        <v>513448.2</v>
      </c>
    </row>
    <row r="160" spans="2:6" ht="12.75">
      <c r="B160" s="1020" t="s">
        <v>1491</v>
      </c>
      <c r="C160" s="1021" t="s">
        <v>1493</v>
      </c>
      <c r="D160" s="1022">
        <v>0</v>
      </c>
      <c r="E160" s="1022">
        <v>0</v>
      </c>
      <c r="F160" s="1023">
        <f>F161</f>
        <v>513448.2</v>
      </c>
    </row>
    <row r="161" spans="2:6" ht="13.5" thickBot="1">
      <c r="B161" s="1024" t="s">
        <v>1492</v>
      </c>
      <c r="C161" s="1025" t="s">
        <v>1494</v>
      </c>
      <c r="D161" s="1057">
        <v>190000</v>
      </c>
      <c r="E161" s="1057">
        <v>323448.2</v>
      </c>
      <c r="F161" s="1058">
        <f>E161+D161</f>
        <v>513448.2</v>
      </c>
    </row>
    <row r="164" ht="13.5" thickBot="1"/>
    <row r="165" spans="2:6" ht="13.5" thickBot="1">
      <c r="B165" s="1016" t="s">
        <v>1166</v>
      </c>
      <c r="C165" s="1047" t="s">
        <v>1167</v>
      </c>
      <c r="D165" s="1048" t="s">
        <v>1168</v>
      </c>
      <c r="E165" s="1019" t="s">
        <v>1169</v>
      </c>
      <c r="F165" s="1031" t="s">
        <v>732</v>
      </c>
    </row>
    <row r="166" spans="2:6" ht="12.75">
      <c r="B166" s="1020" t="s">
        <v>959</v>
      </c>
      <c r="C166" s="1021" t="s">
        <v>1495</v>
      </c>
      <c r="D166" s="1022">
        <f>D167</f>
        <v>0</v>
      </c>
      <c r="E166" s="1022">
        <f>E167</f>
        <v>0</v>
      </c>
      <c r="F166" s="1023">
        <f>F167</f>
        <v>39000</v>
      </c>
    </row>
    <row r="167" spans="2:6" ht="12.75">
      <c r="B167" s="1020" t="s">
        <v>1496</v>
      </c>
      <c r="C167" s="1021" t="s">
        <v>1497</v>
      </c>
      <c r="D167" s="1022">
        <v>0</v>
      </c>
      <c r="E167" s="1022">
        <v>0</v>
      </c>
      <c r="F167" s="1023">
        <f>F168</f>
        <v>39000</v>
      </c>
    </row>
    <row r="168" spans="2:6" ht="13.5" thickBot="1">
      <c r="B168" s="1024" t="s">
        <v>1498</v>
      </c>
      <c r="C168" s="1025" t="s">
        <v>1499</v>
      </c>
      <c r="D168" s="1057">
        <v>39000</v>
      </c>
      <c r="E168" s="1057">
        <v>0</v>
      </c>
      <c r="F168" s="1058">
        <f>E168+D168</f>
        <v>39000</v>
      </c>
    </row>
    <row r="171" ht="13.5" thickBot="1"/>
    <row r="172" spans="2:6" ht="13.5" thickBot="1">
      <c r="B172" s="1016" t="s">
        <v>1166</v>
      </c>
      <c r="C172" s="1047" t="s">
        <v>1167</v>
      </c>
      <c r="D172" s="1048" t="s">
        <v>1168</v>
      </c>
      <c r="E172" s="1019" t="s">
        <v>1169</v>
      </c>
      <c r="F172" s="1031" t="s">
        <v>732</v>
      </c>
    </row>
    <row r="173" spans="2:6" ht="12.75">
      <c r="B173" s="1053" t="s">
        <v>1504</v>
      </c>
      <c r="C173" s="1054" t="s">
        <v>1505</v>
      </c>
      <c r="D173" s="1022">
        <f>D174+D178</f>
        <v>505000</v>
      </c>
      <c r="E173" s="1022">
        <f>E174+E178</f>
        <v>490920</v>
      </c>
      <c r="F173" s="1056">
        <f>F174+F178</f>
        <v>995920</v>
      </c>
    </row>
    <row r="174" spans="2:6" ht="12.75">
      <c r="B174" s="1020" t="s">
        <v>1506</v>
      </c>
      <c r="C174" s="1021" t="s">
        <v>1507</v>
      </c>
      <c r="D174" s="1022">
        <f>SUM(D175:D177)</f>
        <v>485000</v>
      </c>
      <c r="E174" s="1022">
        <f>SUM(E175:E177)</f>
        <v>490920</v>
      </c>
      <c r="F174" s="1023">
        <f>SUM(F175:F177)</f>
        <v>975920</v>
      </c>
    </row>
    <row r="175" spans="2:6" ht="12.75">
      <c r="B175" s="1039" t="s">
        <v>1508</v>
      </c>
      <c r="C175" s="1040" t="s">
        <v>1509</v>
      </c>
      <c r="D175" s="1049">
        <v>0</v>
      </c>
      <c r="E175" s="1049">
        <v>414920</v>
      </c>
      <c r="F175" s="1050">
        <f>SUM(D175:E175)</f>
        <v>414920</v>
      </c>
    </row>
    <row r="176" spans="2:6" ht="12.75">
      <c r="B176" s="1039" t="s">
        <v>1510</v>
      </c>
      <c r="C176" s="1040" t="s">
        <v>1511</v>
      </c>
      <c r="D176" s="1049">
        <v>0</v>
      </c>
      <c r="E176" s="1049">
        <v>76000</v>
      </c>
      <c r="F176" s="1050">
        <f>SUM(D176:E176)</f>
        <v>76000</v>
      </c>
    </row>
    <row r="177" spans="2:6" ht="12.75">
      <c r="B177" s="1039" t="s">
        <v>1512</v>
      </c>
      <c r="C177" s="1040" t="s">
        <v>1513</v>
      </c>
      <c r="D177" s="1049">
        <v>485000</v>
      </c>
      <c r="E177" s="1049">
        <v>0</v>
      </c>
      <c r="F177" s="1050">
        <f>SUM(D177:E177)</f>
        <v>485000</v>
      </c>
    </row>
    <row r="178" spans="2:6" s="948" customFormat="1" ht="12.75">
      <c r="B178" s="1041" t="s">
        <v>1514</v>
      </c>
      <c r="C178" s="944" t="s">
        <v>1516</v>
      </c>
      <c r="D178" s="1042">
        <f>D179</f>
        <v>20000</v>
      </c>
      <c r="E178" s="1042">
        <v>0</v>
      </c>
      <c r="F178" s="1043">
        <f>SUM(D178:E178)</f>
        <v>20000</v>
      </c>
    </row>
    <row r="179" spans="2:6" s="955" customFormat="1" ht="13.5" thickBot="1">
      <c r="B179" s="1059" t="s">
        <v>1515</v>
      </c>
      <c r="C179" s="1025" t="s">
        <v>1517</v>
      </c>
      <c r="D179" s="1060">
        <v>20000</v>
      </c>
      <c r="E179" s="1060">
        <v>0</v>
      </c>
      <c r="F179" s="1061">
        <f>D179</f>
        <v>20000</v>
      </c>
    </row>
    <row r="181" ht="13.5" thickBot="1"/>
    <row r="182" spans="2:6" ht="13.5" thickBot="1">
      <c r="B182" s="1028" t="s">
        <v>1166</v>
      </c>
      <c r="C182" s="1029" t="s">
        <v>1167</v>
      </c>
      <c r="D182" s="1030" t="s">
        <v>1168</v>
      </c>
      <c r="E182" s="1030" t="s">
        <v>1169</v>
      </c>
      <c r="F182" s="1031" t="s">
        <v>732</v>
      </c>
    </row>
    <row r="183" spans="2:6" ht="12.75">
      <c r="B183" s="1020" t="s">
        <v>1518</v>
      </c>
      <c r="C183" s="1021" t="s">
        <v>1519</v>
      </c>
      <c r="D183" s="1022">
        <f>D184</f>
        <v>150000</v>
      </c>
      <c r="E183" s="1022">
        <f>E184</f>
        <v>924500</v>
      </c>
      <c r="F183" s="1023">
        <f>F184</f>
        <v>1074500</v>
      </c>
    </row>
    <row r="184" spans="2:6" ht="12.75">
      <c r="B184" s="1020" t="s">
        <v>1520</v>
      </c>
      <c r="C184" s="1021" t="s">
        <v>1521</v>
      </c>
      <c r="D184" s="1022">
        <f>D185+D186</f>
        <v>150000</v>
      </c>
      <c r="E184" s="1022">
        <f>E185+E186</f>
        <v>924500</v>
      </c>
      <c r="F184" s="1023">
        <f>F185+F186</f>
        <v>1074500</v>
      </c>
    </row>
    <row r="185" spans="2:6" ht="12.75">
      <c r="B185" s="1039" t="s">
        <v>1522</v>
      </c>
      <c r="C185" s="1040" t="s">
        <v>1523</v>
      </c>
      <c r="D185" s="1049">
        <v>0</v>
      </c>
      <c r="E185" s="1049">
        <v>589500</v>
      </c>
      <c r="F185" s="1050">
        <f>E185+D185</f>
        <v>589500</v>
      </c>
    </row>
    <row r="186" spans="2:6" s="955" customFormat="1" ht="13.5" thickBot="1">
      <c r="B186" s="1059" t="s">
        <v>1524</v>
      </c>
      <c r="C186" s="958" t="s">
        <v>790</v>
      </c>
      <c r="D186" s="1060">
        <v>150000</v>
      </c>
      <c r="E186" s="1060">
        <v>335000</v>
      </c>
      <c r="F186" s="1061">
        <f>E186+D186</f>
        <v>485000</v>
      </c>
    </row>
    <row r="189" ht="13.5" thickBot="1"/>
    <row r="190" spans="2:6" ht="13.5" thickBot="1">
      <c r="B190" s="1028" t="s">
        <v>1166</v>
      </c>
      <c r="C190" s="1029" t="s">
        <v>1167</v>
      </c>
      <c r="D190" s="1030" t="s">
        <v>1168</v>
      </c>
      <c r="E190" s="1030" t="s">
        <v>1169</v>
      </c>
      <c r="F190" s="1031" t="s">
        <v>732</v>
      </c>
    </row>
    <row r="191" spans="2:6" ht="12.75">
      <c r="B191" s="1020" t="s">
        <v>1525</v>
      </c>
      <c r="C191" s="1021" t="s">
        <v>1526</v>
      </c>
      <c r="D191" s="1022">
        <f>D192</f>
        <v>85000</v>
      </c>
      <c r="E191" s="1022">
        <f>E192</f>
        <v>0</v>
      </c>
      <c r="F191" s="1023">
        <f>F192</f>
        <v>85000</v>
      </c>
    </row>
    <row r="192" spans="2:6" ht="12.75">
      <c r="B192" s="1020" t="s">
        <v>1527</v>
      </c>
      <c r="C192" s="1021" t="s">
        <v>1528</v>
      </c>
      <c r="D192" s="1022">
        <f>D193+D194</f>
        <v>85000</v>
      </c>
      <c r="E192" s="1022">
        <f>E193+E194</f>
        <v>0</v>
      </c>
      <c r="F192" s="1023">
        <f>F193+F194</f>
        <v>85000</v>
      </c>
    </row>
    <row r="193" spans="2:6" ht="12.75">
      <c r="B193" s="1039" t="s">
        <v>1529</v>
      </c>
      <c r="C193" s="1040" t="s">
        <v>1530</v>
      </c>
      <c r="D193" s="1049">
        <v>35000</v>
      </c>
      <c r="E193" s="1049">
        <v>0</v>
      </c>
      <c r="F193" s="1050">
        <f>E193+D193</f>
        <v>35000</v>
      </c>
    </row>
    <row r="194" spans="2:6" ht="13.5" thickBot="1">
      <c r="B194" s="1059" t="s">
        <v>1531</v>
      </c>
      <c r="C194" s="958" t="s">
        <v>1532</v>
      </c>
      <c r="D194" s="1060">
        <v>50000</v>
      </c>
      <c r="E194" s="1060">
        <v>0</v>
      </c>
      <c r="F194" s="1061">
        <f>E194+D194</f>
        <v>50000</v>
      </c>
    </row>
    <row r="197" ht="13.5" thickBot="1"/>
    <row r="198" spans="2:6" ht="13.5" thickBot="1">
      <c r="B198" s="1028" t="s">
        <v>1166</v>
      </c>
      <c r="C198" s="1029" t="s">
        <v>1167</v>
      </c>
      <c r="D198" s="1030" t="s">
        <v>1168</v>
      </c>
      <c r="E198" s="1030" t="s">
        <v>1169</v>
      </c>
      <c r="F198" s="1031" t="s">
        <v>732</v>
      </c>
    </row>
    <row r="199" spans="2:6" ht="12.75">
      <c r="B199" s="1020" t="s">
        <v>1533</v>
      </c>
      <c r="C199" s="1021" t="s">
        <v>1534</v>
      </c>
      <c r="D199" s="1022">
        <f aca="true" t="shared" si="12" ref="D199:F200">D200</f>
        <v>0</v>
      </c>
      <c r="E199" s="1022">
        <f t="shared" si="12"/>
        <v>1653000</v>
      </c>
      <c r="F199" s="1023">
        <f t="shared" si="12"/>
        <v>1653000</v>
      </c>
    </row>
    <row r="200" spans="2:6" ht="12.75">
      <c r="B200" s="1020" t="s">
        <v>1535</v>
      </c>
      <c r="C200" s="1021" t="s">
        <v>1536</v>
      </c>
      <c r="D200" s="1022">
        <f t="shared" si="12"/>
        <v>0</v>
      </c>
      <c r="E200" s="1022">
        <f t="shared" si="12"/>
        <v>1653000</v>
      </c>
      <c r="F200" s="1023">
        <f t="shared" si="12"/>
        <v>1653000</v>
      </c>
    </row>
    <row r="201" spans="2:6" ht="13.5" thickBot="1">
      <c r="B201" s="1024" t="s">
        <v>1537</v>
      </c>
      <c r="C201" s="1025" t="s">
        <v>1538</v>
      </c>
      <c r="D201" s="1057">
        <v>0</v>
      </c>
      <c r="E201" s="1057">
        <v>1653000</v>
      </c>
      <c r="F201" s="1058">
        <f>E201+D201</f>
        <v>1653000</v>
      </c>
    </row>
    <row r="204" ht="13.5" thickBot="1"/>
    <row r="205" spans="2:6" ht="13.5" thickBot="1">
      <c r="B205" s="1028" t="s">
        <v>1166</v>
      </c>
      <c r="C205" s="1029" t="s">
        <v>1167</v>
      </c>
      <c r="D205" s="1030" t="s">
        <v>1168</v>
      </c>
      <c r="E205" s="1030" t="s">
        <v>1169</v>
      </c>
      <c r="F205" s="1031" t="s">
        <v>732</v>
      </c>
    </row>
    <row r="206" spans="2:6" ht="12.75">
      <c r="B206" s="1020" t="s">
        <v>1539</v>
      </c>
      <c r="C206" s="1021" t="s">
        <v>1542</v>
      </c>
      <c r="D206" s="1022">
        <f aca="true" t="shared" si="13" ref="D206:F207">D207</f>
        <v>0</v>
      </c>
      <c r="E206" s="1022">
        <f t="shared" si="13"/>
        <v>250000</v>
      </c>
      <c r="F206" s="1023">
        <f t="shared" si="13"/>
        <v>250000</v>
      </c>
    </row>
    <row r="207" spans="2:6" ht="12.75">
      <c r="B207" s="1020" t="s">
        <v>1540</v>
      </c>
      <c r="C207" s="1021" t="s">
        <v>1114</v>
      </c>
      <c r="D207" s="1022">
        <f t="shared" si="13"/>
        <v>0</v>
      </c>
      <c r="E207" s="1022">
        <f t="shared" si="13"/>
        <v>250000</v>
      </c>
      <c r="F207" s="1023">
        <f t="shared" si="13"/>
        <v>250000</v>
      </c>
    </row>
    <row r="208" spans="2:6" ht="13.5" thickBot="1">
      <c r="B208" s="1024" t="s">
        <v>1541</v>
      </c>
      <c r="C208" s="1025" t="s">
        <v>1114</v>
      </c>
      <c r="D208" s="1057">
        <v>0</v>
      </c>
      <c r="E208" s="1057">
        <v>250000</v>
      </c>
      <c r="F208" s="1058">
        <f>E208+D208</f>
        <v>250000</v>
      </c>
    </row>
    <row r="209" ht="13.5" thickBot="1"/>
    <row r="210" spans="2:8" ht="13.5" thickBot="1">
      <c r="B210" s="1062" t="s">
        <v>1550</v>
      </c>
      <c r="C210" s="1063"/>
      <c r="D210" s="1063"/>
      <c r="E210" s="1063"/>
      <c r="F210" s="1064">
        <f>F206+F199+F191+F183+F173+F166+F159+F152+F143+F130+F123+F116+F105+F98+F82+F76+F69+F63+F56+F50+F36+F29+F24+F10+F4+F136</f>
        <v>44849000</v>
      </c>
      <c r="H210" s="1065">
        <f>'Dem. da desp. órgao e função'!E133-'Dem. Fun. Sub.Fun. e prog. pro'!F210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95" r:id="rId1"/>
  <headerFooter>
    <oddHeader>&amp;CDemonstrativo de Funções, Subfunções e Programas por Projetos e Atividades
ANEXO 7, da LEI 4320/64
L.D.O EXERCÍCIO DE 2018</oddHeader>
  </headerFooter>
  <rowBreaks count="4" manualBreakCount="4">
    <brk id="34" min="1" max="6" man="1"/>
    <brk id="72" min="1" max="6" man="1"/>
    <brk id="111" min="1" max="6" man="1"/>
    <brk id="189" min="1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H210"/>
  <sheetViews>
    <sheetView workbookViewId="0" topLeftCell="A184">
      <selection activeCell="E213" sqref="E213"/>
    </sheetView>
  </sheetViews>
  <sheetFormatPr defaultColWidth="9.140625" defaultRowHeight="12.75"/>
  <cols>
    <col min="1" max="1" width="9.140625" style="1014" customWidth="1"/>
    <col min="2" max="2" width="11.7109375" style="1013" bestFit="1" customWidth="1"/>
    <col min="3" max="3" width="65.7109375" style="1014" bestFit="1" customWidth="1"/>
    <col min="4" max="4" width="15.28125" style="1015" bestFit="1" customWidth="1"/>
    <col min="5" max="5" width="19.7109375" style="1015" bestFit="1" customWidth="1"/>
    <col min="6" max="6" width="16.28125" style="1015" bestFit="1" customWidth="1"/>
    <col min="7" max="7" width="9.140625" style="1014" customWidth="1"/>
    <col min="8" max="8" width="16.8515625" style="1014" bestFit="1" customWidth="1"/>
    <col min="9" max="16384" width="9.140625" style="1014" customWidth="1"/>
  </cols>
  <sheetData>
    <row r="2" ht="13.5" thickBot="1"/>
    <row r="3" spans="2:6" ht="13.5" thickBot="1">
      <c r="B3" s="1016" t="s">
        <v>1166</v>
      </c>
      <c r="C3" s="1047" t="s">
        <v>1167</v>
      </c>
      <c r="D3" s="1048" t="s">
        <v>883</v>
      </c>
      <c r="E3" s="1019" t="s">
        <v>1556</v>
      </c>
      <c r="F3" s="1031" t="s">
        <v>732</v>
      </c>
    </row>
    <row r="4" spans="2:6" ht="12.75">
      <c r="B4" s="1020" t="s">
        <v>1206</v>
      </c>
      <c r="C4" s="1021" t="s">
        <v>1209</v>
      </c>
      <c r="D4" s="1022">
        <f aca="true" t="shared" si="0" ref="D4:F5">D5</f>
        <v>1800000</v>
      </c>
      <c r="E4" s="1022">
        <f t="shared" si="0"/>
        <v>0</v>
      </c>
      <c r="F4" s="1023">
        <f t="shared" si="0"/>
        <v>1800000</v>
      </c>
    </row>
    <row r="5" spans="2:6" ht="12.75">
      <c r="B5" s="1020" t="s">
        <v>1207</v>
      </c>
      <c r="C5" s="1021" t="s">
        <v>1210</v>
      </c>
      <c r="D5" s="1022">
        <f t="shared" si="0"/>
        <v>1800000</v>
      </c>
      <c r="E5" s="1022">
        <f t="shared" si="0"/>
        <v>0</v>
      </c>
      <c r="F5" s="1023">
        <f t="shared" si="0"/>
        <v>1800000</v>
      </c>
    </row>
    <row r="6" spans="2:6" ht="13.5" thickBot="1">
      <c r="B6" s="1024" t="s">
        <v>1208</v>
      </c>
      <c r="C6" s="1025" t="s">
        <v>1211</v>
      </c>
      <c r="D6" s="1026">
        <v>1800000</v>
      </c>
      <c r="E6" s="1026">
        <v>0</v>
      </c>
      <c r="F6" s="1027">
        <f>E6+D6</f>
        <v>1800000</v>
      </c>
    </row>
    <row r="8" ht="13.5" thickBot="1"/>
    <row r="9" spans="2:6" s="1032" customFormat="1" ht="13.5" thickBot="1">
      <c r="B9" s="1028" t="s">
        <v>1166</v>
      </c>
      <c r="C9" s="1029" t="s">
        <v>1167</v>
      </c>
      <c r="D9" s="1066" t="s">
        <v>883</v>
      </c>
      <c r="E9" s="1031" t="s">
        <v>1556</v>
      </c>
      <c r="F9" s="1031" t="s">
        <v>732</v>
      </c>
    </row>
    <row r="10" spans="2:6" s="1034" customFormat="1" ht="12.75">
      <c r="B10" s="1033" t="s">
        <v>1125</v>
      </c>
      <c r="C10" s="1021" t="s">
        <v>879</v>
      </c>
      <c r="D10" s="1022">
        <f>D11</f>
        <v>3522984</v>
      </c>
      <c r="E10" s="1022">
        <f>E11</f>
        <v>0</v>
      </c>
      <c r="F10" s="1023">
        <f>F11</f>
        <v>3522984</v>
      </c>
    </row>
    <row r="11" spans="2:6" s="1034" customFormat="1" ht="12.75">
      <c r="B11" s="1020" t="s">
        <v>1170</v>
      </c>
      <c r="C11" s="1021" t="s">
        <v>880</v>
      </c>
      <c r="D11" s="1022">
        <f>SUM(D12:D18)</f>
        <v>3522984</v>
      </c>
      <c r="E11" s="1022">
        <f>SUM(E12:E18)</f>
        <v>0</v>
      </c>
      <c r="F11" s="1023">
        <f>SUM(F12:F18)</f>
        <v>3522984</v>
      </c>
    </row>
    <row r="12" spans="2:6" ht="12.75">
      <c r="B12" s="1035" t="s">
        <v>1171</v>
      </c>
      <c r="C12" s="1036" t="s">
        <v>1172</v>
      </c>
      <c r="D12" s="1037">
        <v>613320</v>
      </c>
      <c r="E12" s="1037">
        <v>0</v>
      </c>
      <c r="F12" s="1038">
        <f aca="true" t="shared" si="1" ref="F12:F17">E12+D12</f>
        <v>613320</v>
      </c>
    </row>
    <row r="13" spans="2:6" ht="12.75">
      <c r="B13" s="1039" t="s">
        <v>1173</v>
      </c>
      <c r="C13" s="1040" t="s">
        <v>1174</v>
      </c>
      <c r="D13" s="1037">
        <v>445980</v>
      </c>
      <c r="E13" s="1037">
        <v>0</v>
      </c>
      <c r="F13" s="1038">
        <f t="shared" si="1"/>
        <v>445980</v>
      </c>
    </row>
    <row r="14" spans="2:6" ht="12.75">
      <c r="B14" s="1039" t="s">
        <v>1175</v>
      </c>
      <c r="C14" s="1040" t="s">
        <v>1176</v>
      </c>
      <c r="D14" s="1037">
        <v>849040</v>
      </c>
      <c r="E14" s="1037">
        <v>0</v>
      </c>
      <c r="F14" s="1038">
        <f t="shared" si="1"/>
        <v>849040</v>
      </c>
    </row>
    <row r="15" spans="2:6" ht="12.75">
      <c r="B15" s="1039" t="s">
        <v>1177</v>
      </c>
      <c r="C15" s="1040" t="s">
        <v>1178</v>
      </c>
      <c r="D15" s="1037">
        <v>642524</v>
      </c>
      <c r="E15" s="1037">
        <v>0</v>
      </c>
      <c r="F15" s="1038">
        <f t="shared" si="1"/>
        <v>642524</v>
      </c>
    </row>
    <row r="16" spans="2:6" ht="12.75">
      <c r="B16" s="1039" t="s">
        <v>1179</v>
      </c>
      <c r="C16" s="1040" t="s">
        <v>1180</v>
      </c>
      <c r="D16" s="1037">
        <v>662120</v>
      </c>
      <c r="E16" s="1037">
        <v>0</v>
      </c>
      <c r="F16" s="1038">
        <f t="shared" si="1"/>
        <v>662120</v>
      </c>
    </row>
    <row r="17" spans="2:6" ht="12.75">
      <c r="B17" s="1039" t="s">
        <v>1181</v>
      </c>
      <c r="C17" s="1040" t="s">
        <v>1182</v>
      </c>
      <c r="D17" s="1037">
        <v>110000</v>
      </c>
      <c r="E17" s="1037">
        <v>0</v>
      </c>
      <c r="F17" s="1038">
        <f t="shared" si="1"/>
        <v>110000</v>
      </c>
    </row>
    <row r="18" spans="2:6" s="948" customFormat="1" ht="12.75">
      <c r="B18" s="1041" t="s">
        <v>1500</v>
      </c>
      <c r="C18" s="944" t="s">
        <v>1502</v>
      </c>
      <c r="D18" s="1042">
        <f>D19</f>
        <v>200000</v>
      </c>
      <c r="E18" s="1042">
        <f>E19</f>
        <v>0</v>
      </c>
      <c r="F18" s="1043">
        <f>F19</f>
        <v>200000</v>
      </c>
    </row>
    <row r="19" spans="2:6" ht="13.5" thickBot="1">
      <c r="B19" s="1024" t="s">
        <v>1501</v>
      </c>
      <c r="C19" s="1025" t="s">
        <v>1503</v>
      </c>
      <c r="D19" s="1026">
        <v>200000</v>
      </c>
      <c r="E19" s="1026">
        <v>0</v>
      </c>
      <c r="F19" s="1027">
        <f>E19+D19</f>
        <v>200000</v>
      </c>
    </row>
    <row r="20" spans="2:6" ht="12.75">
      <c r="B20" s="1044"/>
      <c r="C20" s="1040"/>
      <c r="D20" s="1037"/>
      <c r="E20" s="1037"/>
      <c r="F20" s="1037"/>
    </row>
    <row r="21" spans="2:6" ht="12.75">
      <c r="B21" s="1044"/>
      <c r="C21" s="1040"/>
      <c r="D21" s="1037"/>
      <c r="E21" s="1037"/>
      <c r="F21" s="1037"/>
    </row>
    <row r="22" spans="2:6" ht="13.5" thickBot="1">
      <c r="B22" s="1044"/>
      <c r="C22" s="1040"/>
      <c r="D22" s="1037"/>
      <c r="E22" s="1037"/>
      <c r="F22" s="1037"/>
    </row>
    <row r="23" spans="2:6" s="1032" customFormat="1" ht="13.5" thickBot="1">
      <c r="B23" s="1045" t="s">
        <v>1166</v>
      </c>
      <c r="C23" s="1029" t="s">
        <v>1167</v>
      </c>
      <c r="D23" s="1048" t="s">
        <v>883</v>
      </c>
      <c r="E23" s="1019" t="s">
        <v>1557</v>
      </c>
      <c r="F23" s="1031" t="s">
        <v>732</v>
      </c>
    </row>
    <row r="24" spans="2:6" s="1034" customFormat="1" ht="12.75">
      <c r="B24" s="1020" t="s">
        <v>1132</v>
      </c>
      <c r="C24" s="1021" t="s">
        <v>1183</v>
      </c>
      <c r="D24" s="1022">
        <f aca="true" t="shared" si="2" ref="D24:F25">D25</f>
        <v>40000</v>
      </c>
      <c r="E24" s="1022">
        <f t="shared" si="2"/>
        <v>0</v>
      </c>
      <c r="F24" s="1023">
        <f t="shared" si="2"/>
        <v>40000</v>
      </c>
    </row>
    <row r="25" spans="2:6" s="1034" customFormat="1" ht="12.75">
      <c r="B25" s="1020" t="s">
        <v>1184</v>
      </c>
      <c r="C25" s="1021" t="s">
        <v>1185</v>
      </c>
      <c r="D25" s="1022">
        <f t="shared" si="2"/>
        <v>40000</v>
      </c>
      <c r="E25" s="1022">
        <f t="shared" si="2"/>
        <v>0</v>
      </c>
      <c r="F25" s="1023">
        <f t="shared" si="2"/>
        <v>40000</v>
      </c>
    </row>
    <row r="26" spans="2:6" ht="13.5" thickBot="1">
      <c r="B26" s="1024" t="s">
        <v>1186</v>
      </c>
      <c r="C26" s="1025" t="s">
        <v>1187</v>
      </c>
      <c r="D26" s="1026">
        <v>40000</v>
      </c>
      <c r="E26" s="1026">
        <v>0</v>
      </c>
      <c r="F26" s="1027">
        <f>E26+D26</f>
        <v>40000</v>
      </c>
    </row>
    <row r="27" ht="13.5" thickBot="1"/>
    <row r="28" spans="2:6" ht="13.5" thickBot="1">
      <c r="B28" s="1045" t="s">
        <v>1166</v>
      </c>
      <c r="C28" s="1052" t="s">
        <v>1167</v>
      </c>
      <c r="D28" s="1030" t="s">
        <v>1558</v>
      </c>
      <c r="E28" s="1030" t="s">
        <v>1557</v>
      </c>
      <c r="F28" s="1031" t="s">
        <v>732</v>
      </c>
    </row>
    <row r="29" spans="2:6" ht="12.75">
      <c r="B29" s="1020" t="s">
        <v>1139</v>
      </c>
      <c r="C29" s="1021" t="s">
        <v>1372</v>
      </c>
      <c r="D29" s="1022">
        <f>D30</f>
        <v>200000</v>
      </c>
      <c r="E29" s="1022">
        <f>E30</f>
        <v>0</v>
      </c>
      <c r="F29" s="1023">
        <f>F30</f>
        <v>200000</v>
      </c>
    </row>
    <row r="30" spans="2:6" ht="12.75">
      <c r="B30" s="1020" t="s">
        <v>1369</v>
      </c>
      <c r="C30" s="1021" t="s">
        <v>1373</v>
      </c>
      <c r="D30" s="1022">
        <f>D32+D31</f>
        <v>200000</v>
      </c>
      <c r="E30" s="1022">
        <f>E32+E31</f>
        <v>0</v>
      </c>
      <c r="F30" s="1023">
        <f>F32+F31</f>
        <v>200000</v>
      </c>
    </row>
    <row r="31" spans="2:6" s="1051" customFormat="1" ht="12.75">
      <c r="B31" s="1039" t="s">
        <v>1370</v>
      </c>
      <c r="C31" s="1040" t="s">
        <v>857</v>
      </c>
      <c r="D31" s="1049">
        <v>197000</v>
      </c>
      <c r="E31" s="1049">
        <v>0</v>
      </c>
      <c r="F31" s="1050">
        <f>E31+D31</f>
        <v>197000</v>
      </c>
    </row>
    <row r="32" spans="2:6" ht="13.5" thickBot="1">
      <c r="B32" s="1024" t="s">
        <v>1371</v>
      </c>
      <c r="C32" s="1025" t="s">
        <v>1374</v>
      </c>
      <c r="D32" s="1026">
        <v>3000</v>
      </c>
      <c r="E32" s="1026">
        <v>0</v>
      </c>
      <c r="F32" s="1058">
        <f>E32+D32</f>
        <v>3000</v>
      </c>
    </row>
    <row r="33" spans="2:6" ht="12.75">
      <c r="B33" s="1044"/>
      <c r="C33" s="1040"/>
      <c r="D33" s="1037"/>
      <c r="E33" s="1037"/>
      <c r="F33" s="1037"/>
    </row>
    <row r="34" spans="2:6" ht="13.5" thickBot="1">
      <c r="B34" s="1044"/>
      <c r="C34" s="1040"/>
      <c r="D34" s="1037"/>
      <c r="E34" s="1037"/>
      <c r="F34" s="1037"/>
    </row>
    <row r="35" spans="2:6" ht="13.5" thickBot="1">
      <c r="B35" s="1028" t="s">
        <v>1166</v>
      </c>
      <c r="C35" s="1052" t="s">
        <v>1167</v>
      </c>
      <c r="D35" s="1048" t="s">
        <v>883</v>
      </c>
      <c r="E35" s="1019" t="s">
        <v>1556</v>
      </c>
      <c r="F35" s="1031" t="s">
        <v>732</v>
      </c>
    </row>
    <row r="36" spans="2:6" ht="12.75">
      <c r="B36" s="1053" t="s">
        <v>1139</v>
      </c>
      <c r="C36" s="1054" t="s">
        <v>1372</v>
      </c>
      <c r="D36" s="1022">
        <f>D37</f>
        <v>1469500</v>
      </c>
      <c r="E36" s="1022">
        <f>E37</f>
        <v>388500</v>
      </c>
      <c r="F36" s="1056">
        <f>F37</f>
        <v>1858000</v>
      </c>
    </row>
    <row r="37" spans="2:6" ht="12.75">
      <c r="B37" s="1020" t="s">
        <v>1376</v>
      </c>
      <c r="C37" s="1021" t="s">
        <v>1377</v>
      </c>
      <c r="D37" s="1022">
        <f>SUM(D38:D45)</f>
        <v>1469500</v>
      </c>
      <c r="E37" s="1022">
        <f>SUM(E38:E45)</f>
        <v>388500</v>
      </c>
      <c r="F37" s="1023">
        <f>SUM(F38:F45)</f>
        <v>1858000</v>
      </c>
    </row>
    <row r="38" spans="2:6" s="1051" customFormat="1" ht="12.75">
      <c r="B38" s="1039" t="s">
        <v>1378</v>
      </c>
      <c r="C38" s="1040" t="s">
        <v>1227</v>
      </c>
      <c r="D38" s="1049">
        <v>1323000</v>
      </c>
      <c r="E38" s="1049">
        <v>0</v>
      </c>
      <c r="F38" s="1050">
        <f aca="true" t="shared" si="3" ref="F38:F45">E38+D38</f>
        <v>1323000</v>
      </c>
    </row>
    <row r="39" spans="2:6" s="1051" customFormat="1" ht="12.75">
      <c r="B39" s="1039" t="s">
        <v>1379</v>
      </c>
      <c r="C39" s="1040" t="s">
        <v>1380</v>
      </c>
      <c r="D39" s="1049">
        <v>64000</v>
      </c>
      <c r="E39" s="1049">
        <v>5000</v>
      </c>
      <c r="F39" s="1050">
        <f t="shared" si="3"/>
        <v>69000</v>
      </c>
    </row>
    <row r="40" spans="2:6" s="1051" customFormat="1" ht="12.75">
      <c r="B40" s="1039" t="s">
        <v>1381</v>
      </c>
      <c r="C40" s="1040" t="s">
        <v>1382</v>
      </c>
      <c r="D40" s="1049">
        <v>30000</v>
      </c>
      <c r="E40" s="1049">
        <v>0</v>
      </c>
      <c r="F40" s="1050">
        <f t="shared" si="3"/>
        <v>30000</v>
      </c>
    </row>
    <row r="41" spans="2:6" s="1051" customFormat="1" ht="12.75">
      <c r="B41" s="1039" t="s">
        <v>1411</v>
      </c>
      <c r="C41" s="1040" t="s">
        <v>853</v>
      </c>
      <c r="D41" s="1049">
        <v>38000</v>
      </c>
      <c r="E41" s="1049">
        <v>194000</v>
      </c>
      <c r="F41" s="1050">
        <f t="shared" si="3"/>
        <v>232000</v>
      </c>
    </row>
    <row r="42" spans="2:6" s="1051" customFormat="1" ht="12.75">
      <c r="B42" s="1039" t="s">
        <v>1412</v>
      </c>
      <c r="C42" s="1040" t="s">
        <v>1274</v>
      </c>
      <c r="D42" s="1049">
        <v>1500</v>
      </c>
      <c r="E42" s="1049">
        <v>48500</v>
      </c>
      <c r="F42" s="1050">
        <f t="shared" si="3"/>
        <v>50000</v>
      </c>
    </row>
    <row r="43" spans="2:6" s="1051" customFormat="1" ht="12.75">
      <c r="B43" s="1039" t="s">
        <v>1413</v>
      </c>
      <c r="C43" s="1040" t="s">
        <v>1275</v>
      </c>
      <c r="D43" s="1049">
        <v>0</v>
      </c>
      <c r="E43" s="1049">
        <v>30000</v>
      </c>
      <c r="F43" s="1050">
        <f t="shared" si="3"/>
        <v>30000</v>
      </c>
    </row>
    <row r="44" spans="2:6" s="1051" customFormat="1" ht="12.75">
      <c r="B44" s="1039" t="s">
        <v>1414</v>
      </c>
      <c r="C44" s="1040" t="s">
        <v>1416</v>
      </c>
      <c r="D44" s="1049">
        <v>3000</v>
      </c>
      <c r="E44" s="1049">
        <v>51000</v>
      </c>
      <c r="F44" s="1050">
        <f t="shared" si="3"/>
        <v>54000</v>
      </c>
    </row>
    <row r="45" spans="2:6" s="1051" customFormat="1" ht="13.5" thickBot="1">
      <c r="B45" s="1024" t="s">
        <v>1415</v>
      </c>
      <c r="C45" s="1025" t="s">
        <v>1417</v>
      </c>
      <c r="D45" s="1057">
        <v>10000</v>
      </c>
      <c r="E45" s="1057">
        <v>60000</v>
      </c>
      <c r="F45" s="1058">
        <f t="shared" si="3"/>
        <v>70000</v>
      </c>
    </row>
    <row r="46" spans="2:6" s="1051" customFormat="1" ht="12.75">
      <c r="B46" s="1044"/>
      <c r="C46" s="1040"/>
      <c r="D46" s="1049"/>
      <c r="E46" s="1049"/>
      <c r="F46" s="1049"/>
    </row>
    <row r="47" spans="2:6" s="1051" customFormat="1" ht="12.75">
      <c r="B47" s="1044"/>
      <c r="C47" s="1040"/>
      <c r="D47" s="1049"/>
      <c r="E47" s="1049"/>
      <c r="F47" s="1049"/>
    </row>
    <row r="48" spans="2:6" s="1051" customFormat="1" ht="13.5" thickBot="1">
      <c r="B48" s="1044"/>
      <c r="C48" s="1040"/>
      <c r="D48" s="1049"/>
      <c r="E48" s="1049"/>
      <c r="F48" s="1049"/>
    </row>
    <row r="49" spans="2:6" s="1051" customFormat="1" ht="13.5" thickBot="1">
      <c r="B49" s="1028" t="s">
        <v>1166</v>
      </c>
      <c r="C49" s="1052" t="s">
        <v>1167</v>
      </c>
      <c r="D49" s="1048" t="s">
        <v>883</v>
      </c>
      <c r="E49" s="1019" t="s">
        <v>1557</v>
      </c>
      <c r="F49" s="1031" t="s">
        <v>732</v>
      </c>
    </row>
    <row r="50" spans="2:6" s="1051" customFormat="1" ht="12.75">
      <c r="B50" s="1020" t="s">
        <v>1139</v>
      </c>
      <c r="C50" s="1021" t="s">
        <v>1372</v>
      </c>
      <c r="D50" s="1022">
        <f>D51</f>
        <v>10000</v>
      </c>
      <c r="E50" s="1022">
        <f>E51</f>
        <v>0</v>
      </c>
      <c r="F50" s="1023">
        <f>F51</f>
        <v>10000</v>
      </c>
    </row>
    <row r="51" spans="2:6" s="1051" customFormat="1" ht="12.75">
      <c r="B51" s="1020" t="s">
        <v>1418</v>
      </c>
      <c r="C51" s="1021" t="s">
        <v>1419</v>
      </c>
      <c r="D51" s="1022">
        <f>D59+D52</f>
        <v>10000</v>
      </c>
      <c r="E51" s="1022">
        <f>E59+E52</f>
        <v>0</v>
      </c>
      <c r="F51" s="1023">
        <f>F59+F52</f>
        <v>10000</v>
      </c>
    </row>
    <row r="52" spans="2:6" s="1051" customFormat="1" ht="13.5" thickBot="1">
      <c r="B52" s="1024" t="s">
        <v>1420</v>
      </c>
      <c r="C52" s="1025" t="s">
        <v>1382</v>
      </c>
      <c r="D52" s="1057">
        <v>10000</v>
      </c>
      <c r="E52" s="1057">
        <v>0</v>
      </c>
      <c r="F52" s="1058">
        <f>E52+D52</f>
        <v>10000</v>
      </c>
    </row>
    <row r="53" spans="2:6" s="1051" customFormat="1" ht="12.75">
      <c r="B53" s="1044"/>
      <c r="C53" s="1040"/>
      <c r="D53" s="1049"/>
      <c r="E53" s="1049"/>
      <c r="F53" s="1049"/>
    </row>
    <row r="54" spans="2:6" s="1051" customFormat="1" ht="13.5" thickBot="1">
      <c r="B54" s="1044"/>
      <c r="C54" s="1040"/>
      <c r="D54" s="1049"/>
      <c r="E54" s="1049"/>
      <c r="F54" s="1049"/>
    </row>
    <row r="55" spans="2:6" s="1051" customFormat="1" ht="13.5" thickBot="1">
      <c r="B55" s="1028" t="s">
        <v>1166</v>
      </c>
      <c r="C55" s="1052" t="s">
        <v>1167</v>
      </c>
      <c r="D55" s="1048" t="s">
        <v>883</v>
      </c>
      <c r="E55" s="1019" t="s">
        <v>1556</v>
      </c>
      <c r="F55" s="1031" t="s">
        <v>732</v>
      </c>
    </row>
    <row r="56" spans="2:6" s="1051" customFormat="1" ht="12.75">
      <c r="B56" s="1020" t="s">
        <v>1364</v>
      </c>
      <c r="C56" s="1021" t="s">
        <v>1423</v>
      </c>
      <c r="D56" s="1022">
        <f aca="true" t="shared" si="4" ref="D56:F57">D57</f>
        <v>45000</v>
      </c>
      <c r="E56" s="1022">
        <f t="shared" si="4"/>
        <v>0</v>
      </c>
      <c r="F56" s="1023">
        <f t="shared" si="4"/>
        <v>45000</v>
      </c>
    </row>
    <row r="57" spans="2:6" s="1051" customFormat="1" ht="12.75">
      <c r="B57" s="1020" t="s">
        <v>1421</v>
      </c>
      <c r="C57" s="1021" t="s">
        <v>1424</v>
      </c>
      <c r="D57" s="1022">
        <f t="shared" si="4"/>
        <v>45000</v>
      </c>
      <c r="E57" s="1022">
        <f t="shared" si="4"/>
        <v>0</v>
      </c>
      <c r="F57" s="1023">
        <f t="shared" si="4"/>
        <v>45000</v>
      </c>
    </row>
    <row r="58" spans="2:6" s="1051" customFormat="1" ht="13.5" thickBot="1">
      <c r="B58" s="1024" t="s">
        <v>1422</v>
      </c>
      <c r="C58" s="1025" t="s">
        <v>1425</v>
      </c>
      <c r="D58" s="1057">
        <v>45000</v>
      </c>
      <c r="E58" s="1057">
        <v>0</v>
      </c>
      <c r="F58" s="1058">
        <f>E58+D58</f>
        <v>45000</v>
      </c>
    </row>
    <row r="59" spans="2:6" s="1051" customFormat="1" ht="12.75">
      <c r="B59" s="1044"/>
      <c r="C59" s="1040"/>
      <c r="D59" s="1049"/>
      <c r="E59" s="1049"/>
      <c r="F59" s="1049"/>
    </row>
    <row r="60" spans="2:6" ht="12.75">
      <c r="B60" s="1044"/>
      <c r="C60" s="1040"/>
      <c r="D60" s="1037"/>
      <c r="E60" s="1037"/>
      <c r="F60" s="1037"/>
    </row>
    <row r="61" ht="13.5" thickBot="1"/>
    <row r="62" spans="2:6" ht="13.5" thickBot="1">
      <c r="B62" s="1028" t="s">
        <v>1166</v>
      </c>
      <c r="C62" s="1052" t="s">
        <v>1167</v>
      </c>
      <c r="D62" s="1048" t="s">
        <v>883</v>
      </c>
      <c r="E62" s="1019" t="s">
        <v>1556</v>
      </c>
      <c r="F62" s="1031" t="s">
        <v>732</v>
      </c>
    </row>
    <row r="63" spans="2:6" ht="12.75">
      <c r="B63" s="1020" t="s">
        <v>1143</v>
      </c>
      <c r="C63" s="1021"/>
      <c r="D63" s="1022">
        <f aca="true" t="shared" si="5" ref="D63:F64">D64</f>
        <v>4400000</v>
      </c>
      <c r="E63" s="1022">
        <f t="shared" si="5"/>
        <v>0</v>
      </c>
      <c r="F63" s="1023">
        <f t="shared" si="5"/>
        <v>4400000</v>
      </c>
    </row>
    <row r="64" spans="2:6" ht="12.75">
      <c r="B64" s="1020" t="s">
        <v>1212</v>
      </c>
      <c r="C64" s="1021"/>
      <c r="D64" s="1022">
        <f t="shared" si="5"/>
        <v>4400000</v>
      </c>
      <c r="E64" s="1022">
        <f t="shared" si="5"/>
        <v>0</v>
      </c>
      <c r="F64" s="1023">
        <f t="shared" si="5"/>
        <v>4400000</v>
      </c>
    </row>
    <row r="65" spans="2:6" ht="13.5" thickBot="1">
      <c r="B65" s="1024" t="s">
        <v>1213</v>
      </c>
      <c r="C65" s="1025" t="s">
        <v>1375</v>
      </c>
      <c r="D65" s="1026">
        <v>4400000</v>
      </c>
      <c r="E65" s="1026">
        <v>0</v>
      </c>
      <c r="F65" s="1027">
        <f>E65+D65</f>
        <v>4400000</v>
      </c>
    </row>
    <row r="67" ht="13.5" thickBot="1"/>
    <row r="68" spans="2:6" ht="13.5" thickBot="1">
      <c r="B68" s="1016" t="s">
        <v>1166</v>
      </c>
      <c r="C68" s="1047" t="s">
        <v>1167</v>
      </c>
      <c r="D68" s="1048" t="s">
        <v>883</v>
      </c>
      <c r="E68" s="1019" t="s">
        <v>1556</v>
      </c>
      <c r="F68" s="1031" t="s">
        <v>732</v>
      </c>
    </row>
    <row r="69" spans="2:6" ht="12.75">
      <c r="B69" s="1020" t="s">
        <v>708</v>
      </c>
      <c r="C69" s="1021" t="s">
        <v>1215</v>
      </c>
      <c r="D69" s="1022">
        <f>D70</f>
        <v>35000</v>
      </c>
      <c r="E69" s="1022">
        <f>E70</f>
        <v>5000</v>
      </c>
      <c r="F69" s="1023">
        <f>F70</f>
        <v>40000</v>
      </c>
    </row>
    <row r="70" spans="2:6" ht="12.75">
      <c r="B70" s="1020" t="s">
        <v>1214</v>
      </c>
      <c r="C70" s="1021" t="s">
        <v>1216</v>
      </c>
      <c r="D70" s="1022">
        <f>D72+D71</f>
        <v>35000</v>
      </c>
      <c r="E70" s="1022">
        <f>E72+E71</f>
        <v>5000</v>
      </c>
      <c r="F70" s="1023">
        <f>F72+F71</f>
        <v>40000</v>
      </c>
    </row>
    <row r="71" spans="2:6" s="1051" customFormat="1" ht="12.75">
      <c r="B71" s="1039" t="s">
        <v>1218</v>
      </c>
      <c r="C71" s="1040" t="s">
        <v>1217</v>
      </c>
      <c r="D71" s="1049">
        <v>15000</v>
      </c>
      <c r="E71" s="1049">
        <v>0</v>
      </c>
      <c r="F71" s="1050">
        <f>E71+D71</f>
        <v>15000</v>
      </c>
    </row>
    <row r="72" spans="2:6" ht="13.5" thickBot="1">
      <c r="B72" s="1024" t="s">
        <v>1219</v>
      </c>
      <c r="C72" s="1025" t="s">
        <v>817</v>
      </c>
      <c r="D72" s="1026">
        <v>20000</v>
      </c>
      <c r="E72" s="1026">
        <v>5000</v>
      </c>
      <c r="F72" s="1027">
        <f>E72+D72</f>
        <v>25000</v>
      </c>
    </row>
    <row r="74" ht="13.5" thickBot="1"/>
    <row r="75" spans="2:6" ht="13.5" thickBot="1">
      <c r="B75" s="1016" t="s">
        <v>1166</v>
      </c>
      <c r="C75" s="1047" t="s">
        <v>1167</v>
      </c>
      <c r="D75" s="1048" t="s">
        <v>883</v>
      </c>
      <c r="E75" s="1019" t="s">
        <v>1559</v>
      </c>
      <c r="F75" s="1031" t="s">
        <v>732</v>
      </c>
    </row>
    <row r="76" spans="2:6" ht="12.75">
      <c r="B76" s="1020" t="s">
        <v>708</v>
      </c>
      <c r="C76" s="1021" t="s">
        <v>1215</v>
      </c>
      <c r="D76" s="1022">
        <f aca="true" t="shared" si="6" ref="D76:F77">D77</f>
        <v>20000</v>
      </c>
      <c r="E76" s="1022">
        <f t="shared" si="6"/>
        <v>0</v>
      </c>
      <c r="F76" s="1023">
        <f t="shared" si="6"/>
        <v>20000</v>
      </c>
    </row>
    <row r="77" spans="2:6" ht="12.75">
      <c r="B77" s="1020" t="s">
        <v>1220</v>
      </c>
      <c r="C77" s="1021" t="s">
        <v>1223</v>
      </c>
      <c r="D77" s="1022">
        <f t="shared" si="6"/>
        <v>20000</v>
      </c>
      <c r="E77" s="1022">
        <f t="shared" si="6"/>
        <v>0</v>
      </c>
      <c r="F77" s="1023">
        <f t="shared" si="6"/>
        <v>20000</v>
      </c>
    </row>
    <row r="78" spans="2:6" ht="13.5" thickBot="1">
      <c r="B78" s="1024" t="s">
        <v>1221</v>
      </c>
      <c r="C78" s="1025" t="s">
        <v>1222</v>
      </c>
      <c r="D78" s="1057">
        <v>20000</v>
      </c>
      <c r="E78" s="1057">
        <v>0</v>
      </c>
      <c r="F78" s="1058">
        <f>E78+D78</f>
        <v>20000</v>
      </c>
    </row>
    <row r="80" ht="13.5" thickBot="1"/>
    <row r="81" spans="2:6" ht="13.5" thickBot="1">
      <c r="B81" s="1016" t="s">
        <v>1166</v>
      </c>
      <c r="C81" s="1047" t="s">
        <v>1167</v>
      </c>
      <c r="D81" s="1048" t="s">
        <v>883</v>
      </c>
      <c r="E81" s="1019" t="s">
        <v>1559</v>
      </c>
      <c r="F81" s="1031" t="s">
        <v>732</v>
      </c>
    </row>
    <row r="82" spans="2:6" ht="12.75">
      <c r="B82" s="1053" t="s">
        <v>708</v>
      </c>
      <c r="C82" s="1054" t="s">
        <v>1215</v>
      </c>
      <c r="D82" s="1022">
        <f>D83</f>
        <v>4126344.8</v>
      </c>
      <c r="E82" s="1022">
        <f>E83</f>
        <v>1155200</v>
      </c>
      <c r="F82" s="1056">
        <f>F83</f>
        <v>5281544.8</v>
      </c>
    </row>
    <row r="83" spans="2:6" ht="12.75">
      <c r="B83" s="1020" t="s">
        <v>1224</v>
      </c>
      <c r="C83" s="1021" t="s">
        <v>1225</v>
      </c>
      <c r="D83" s="1022">
        <f>SUM(D84:D94)</f>
        <v>4126344.8</v>
      </c>
      <c r="E83" s="1022">
        <f>SUM(E84:E94)</f>
        <v>1155200</v>
      </c>
      <c r="F83" s="1023">
        <f>SUM(F84:F94)</f>
        <v>5281544.8</v>
      </c>
    </row>
    <row r="84" spans="2:6" ht="12.75">
      <c r="B84" s="1039" t="s">
        <v>1226</v>
      </c>
      <c r="C84" s="1040" t="s">
        <v>993</v>
      </c>
      <c r="D84" s="1049">
        <v>861344.8</v>
      </c>
      <c r="E84" s="1049">
        <v>0</v>
      </c>
      <c r="F84" s="1050">
        <f>SUM(D84:E84)</f>
        <v>861344.8</v>
      </c>
    </row>
    <row r="85" spans="2:6" ht="12.75">
      <c r="B85" s="1039" t="s">
        <v>1438</v>
      </c>
      <c r="C85" s="1040" t="s">
        <v>1380</v>
      </c>
      <c r="D85" s="1049">
        <v>3000</v>
      </c>
      <c r="E85" s="1049">
        <v>0</v>
      </c>
      <c r="F85" s="1050">
        <f aca="true" t="shared" si="7" ref="F85:F94">SUM(D85:E85)</f>
        <v>3000</v>
      </c>
    </row>
    <row r="86" spans="2:6" ht="12.75">
      <c r="B86" s="1039" t="s">
        <v>1228</v>
      </c>
      <c r="C86" s="1040" t="s">
        <v>807</v>
      </c>
      <c r="D86" s="1049">
        <v>2401000</v>
      </c>
      <c r="E86" s="1049">
        <v>510000</v>
      </c>
      <c r="F86" s="1050">
        <f t="shared" si="7"/>
        <v>2911000</v>
      </c>
    </row>
    <row r="87" spans="2:6" ht="12.75">
      <c r="B87" s="1039" t="s">
        <v>1229</v>
      </c>
      <c r="C87" s="1040" t="s">
        <v>1439</v>
      </c>
      <c r="D87" s="1049">
        <v>615000</v>
      </c>
      <c r="E87" s="1049">
        <v>20000</v>
      </c>
      <c r="F87" s="1050">
        <f t="shared" si="7"/>
        <v>635000</v>
      </c>
    </row>
    <row r="88" spans="2:6" ht="12.75">
      <c r="B88" s="1039" t="s">
        <v>1230</v>
      </c>
      <c r="C88" s="1040" t="s">
        <v>811</v>
      </c>
      <c r="D88" s="1049">
        <v>150000</v>
      </c>
      <c r="E88" s="1049">
        <v>210000</v>
      </c>
      <c r="F88" s="1050">
        <f t="shared" si="7"/>
        <v>360000</v>
      </c>
    </row>
    <row r="89" spans="2:6" ht="12.75">
      <c r="B89" s="1039" t="s">
        <v>1231</v>
      </c>
      <c r="C89" s="1040" t="s">
        <v>813</v>
      </c>
      <c r="D89" s="1049">
        <v>96000</v>
      </c>
      <c r="E89" s="1049">
        <v>0</v>
      </c>
      <c r="F89" s="1050">
        <f t="shared" si="7"/>
        <v>96000</v>
      </c>
    </row>
    <row r="90" spans="2:6" ht="12.75">
      <c r="B90" s="1039" t="s">
        <v>1232</v>
      </c>
      <c r="C90" s="1040" t="s">
        <v>1440</v>
      </c>
      <c r="D90" s="1049">
        <v>0</v>
      </c>
      <c r="E90" s="1049">
        <v>239000</v>
      </c>
      <c r="F90" s="1050">
        <f t="shared" si="7"/>
        <v>239000</v>
      </c>
    </row>
    <row r="91" spans="2:6" ht="12.75">
      <c r="B91" s="1039" t="s">
        <v>1233</v>
      </c>
      <c r="C91" s="1040" t="s">
        <v>815</v>
      </c>
      <c r="D91" s="1049">
        <v>0</v>
      </c>
      <c r="E91" s="1049">
        <v>67200</v>
      </c>
      <c r="F91" s="1050">
        <f>E91</f>
        <v>67200</v>
      </c>
    </row>
    <row r="92" spans="2:6" ht="12.75">
      <c r="B92" s="1039" t="s">
        <v>1441</v>
      </c>
      <c r="C92" s="1040" t="s">
        <v>1442</v>
      </c>
      <c r="D92" s="1049">
        <v>0</v>
      </c>
      <c r="E92" s="1049">
        <v>30000</v>
      </c>
      <c r="F92" s="1050">
        <f t="shared" si="7"/>
        <v>30000</v>
      </c>
    </row>
    <row r="93" spans="2:6" ht="12.75">
      <c r="B93" s="1039" t="s">
        <v>1443</v>
      </c>
      <c r="C93" s="1040" t="s">
        <v>824</v>
      </c>
      <c r="D93" s="1049">
        <v>0</v>
      </c>
      <c r="E93" s="1049">
        <v>59000</v>
      </c>
      <c r="F93" s="1050">
        <f t="shared" si="7"/>
        <v>59000</v>
      </c>
    </row>
    <row r="94" spans="2:6" ht="13.5" thickBot="1">
      <c r="B94" s="1024" t="s">
        <v>1444</v>
      </c>
      <c r="C94" s="1025" t="s">
        <v>825</v>
      </c>
      <c r="D94" s="1057">
        <v>0</v>
      </c>
      <c r="E94" s="1057">
        <v>20000</v>
      </c>
      <c r="F94" s="1058">
        <f t="shared" si="7"/>
        <v>20000</v>
      </c>
    </row>
    <row r="95" spans="2:6" ht="12.75">
      <c r="B95" s="1044"/>
      <c r="C95" s="1040"/>
      <c r="D95" s="1049"/>
      <c r="E95" s="1049"/>
      <c r="F95" s="1049"/>
    </row>
    <row r="96" spans="2:6" ht="13.5" thickBot="1">
      <c r="B96" s="1044"/>
      <c r="C96" s="1040"/>
      <c r="D96" s="1049"/>
      <c r="E96" s="1049"/>
      <c r="F96" s="1049"/>
    </row>
    <row r="97" spans="2:6" ht="13.5" thickBot="1">
      <c r="B97" s="1016" t="s">
        <v>1166</v>
      </c>
      <c r="C97" s="1047" t="s">
        <v>1167</v>
      </c>
      <c r="D97" s="1048" t="s">
        <v>883</v>
      </c>
      <c r="E97" s="1019" t="s">
        <v>1559</v>
      </c>
      <c r="F97" s="1031" t="s">
        <v>732</v>
      </c>
    </row>
    <row r="98" spans="2:6" ht="12.75">
      <c r="B98" s="1020" t="s">
        <v>708</v>
      </c>
      <c r="C98" s="1021" t="s">
        <v>1215</v>
      </c>
      <c r="D98" s="1022">
        <f aca="true" t="shared" si="8" ref="D98:F99">D99</f>
        <v>2804400</v>
      </c>
      <c r="E98" s="1022">
        <f t="shared" si="8"/>
        <v>240000</v>
      </c>
      <c r="F98" s="1023">
        <f t="shared" si="8"/>
        <v>3044400</v>
      </c>
    </row>
    <row r="99" spans="2:6" ht="12.75">
      <c r="B99" s="1020" t="s">
        <v>1234</v>
      </c>
      <c r="C99" s="1021" t="s">
        <v>1445</v>
      </c>
      <c r="D99" s="1022">
        <f t="shared" si="8"/>
        <v>2804400</v>
      </c>
      <c r="E99" s="1022">
        <f t="shared" si="8"/>
        <v>240000</v>
      </c>
      <c r="F99" s="1023">
        <f t="shared" si="8"/>
        <v>3044400</v>
      </c>
    </row>
    <row r="100" spans="2:6" ht="13.5" thickBot="1">
      <c r="B100" s="1024" t="s">
        <v>1235</v>
      </c>
      <c r="C100" s="1025" t="s">
        <v>1236</v>
      </c>
      <c r="D100" s="1057">
        <v>2804400</v>
      </c>
      <c r="E100" s="1057">
        <v>240000</v>
      </c>
      <c r="F100" s="1058">
        <f>E100+D100</f>
        <v>3044400</v>
      </c>
    </row>
    <row r="103" ht="13.5" thickBot="1"/>
    <row r="104" spans="2:6" ht="13.5" thickBot="1">
      <c r="B104" s="1016" t="s">
        <v>1166</v>
      </c>
      <c r="C104" s="1047" t="s">
        <v>1167</v>
      </c>
      <c r="D104" s="1048" t="s">
        <v>883</v>
      </c>
      <c r="E104" s="1019" t="s">
        <v>1559</v>
      </c>
      <c r="F104" s="1031" t="s">
        <v>732</v>
      </c>
    </row>
    <row r="105" spans="2:6" ht="12.75">
      <c r="B105" s="1053" t="s">
        <v>1446</v>
      </c>
      <c r="C105" s="1054" t="s">
        <v>1447</v>
      </c>
      <c r="D105" s="1022">
        <f>D106</f>
        <v>3216380.04</v>
      </c>
      <c r="E105" s="1022">
        <f>E106</f>
        <v>8500000</v>
      </c>
      <c r="F105" s="1056">
        <f>F106</f>
        <v>11716380.04</v>
      </c>
    </row>
    <row r="106" spans="2:6" ht="12.75">
      <c r="B106" s="1020" t="s">
        <v>1448</v>
      </c>
      <c r="C106" s="1021" t="s">
        <v>1449</v>
      </c>
      <c r="D106" s="1022">
        <f>SUM(D107:D111)</f>
        <v>3216380.04</v>
      </c>
      <c r="E106" s="1022">
        <f>SUM(E107:E111)</f>
        <v>8500000</v>
      </c>
      <c r="F106" s="1023">
        <f>SUM(F107:F111)</f>
        <v>11716380.04</v>
      </c>
    </row>
    <row r="107" spans="2:6" ht="12.75">
      <c r="B107" s="1039" t="s">
        <v>1450</v>
      </c>
      <c r="C107" s="1040" t="s">
        <v>1451</v>
      </c>
      <c r="D107" s="1049">
        <v>1362380.04</v>
      </c>
      <c r="E107" s="1049">
        <v>200000</v>
      </c>
      <c r="F107" s="1050">
        <f>SUM(D107:E107)</f>
        <v>1562380.04</v>
      </c>
    </row>
    <row r="108" spans="2:6" ht="12.75">
      <c r="B108" s="1039" t="s">
        <v>1452</v>
      </c>
      <c r="C108" s="1040" t="s">
        <v>1449</v>
      </c>
      <c r="D108" s="1049">
        <v>1578000</v>
      </c>
      <c r="E108" s="1049">
        <v>7086000</v>
      </c>
      <c r="F108" s="1050">
        <f>SUM(D108:E108)</f>
        <v>8664000</v>
      </c>
    </row>
    <row r="109" spans="2:6" ht="12.75">
      <c r="B109" s="1039" t="s">
        <v>1453</v>
      </c>
      <c r="C109" s="1040" t="s">
        <v>1454</v>
      </c>
      <c r="D109" s="1049">
        <v>40000</v>
      </c>
      <c r="E109" s="1049">
        <v>0</v>
      </c>
      <c r="F109" s="1050">
        <f>SUM(D109:E109)</f>
        <v>40000</v>
      </c>
    </row>
    <row r="110" spans="2:6" ht="12.75">
      <c r="B110" s="1039" t="s">
        <v>1455</v>
      </c>
      <c r="C110" s="1040" t="s">
        <v>1456</v>
      </c>
      <c r="D110" s="1049">
        <v>206000</v>
      </c>
      <c r="E110" s="1049">
        <v>414000</v>
      </c>
      <c r="F110" s="1050">
        <f>SUM(D110:E110)</f>
        <v>620000</v>
      </c>
    </row>
    <row r="111" spans="2:6" ht="13.5" thickBot="1">
      <c r="B111" s="1024" t="s">
        <v>1457</v>
      </c>
      <c r="C111" s="1025" t="s">
        <v>1458</v>
      </c>
      <c r="D111" s="1057">
        <v>30000</v>
      </c>
      <c r="E111" s="1057">
        <v>800000</v>
      </c>
      <c r="F111" s="1058">
        <f>SUM(D111:E111)</f>
        <v>830000</v>
      </c>
    </row>
    <row r="112" spans="2:6" ht="12.75">
      <c r="B112" s="1014"/>
      <c r="D112" s="1014"/>
      <c r="E112" s="1014"/>
      <c r="F112" s="1014"/>
    </row>
    <row r="113" spans="2:6" ht="12.75">
      <c r="B113" s="1014"/>
      <c r="D113" s="1014"/>
      <c r="E113" s="1014"/>
      <c r="F113" s="1014"/>
    </row>
    <row r="114" spans="2:6" ht="13.5" thickBot="1">
      <c r="B114" s="1014"/>
      <c r="D114" s="1014"/>
      <c r="E114" s="1014"/>
      <c r="F114" s="1014"/>
    </row>
    <row r="115" spans="2:6" ht="13.5" thickBot="1">
      <c r="B115" s="1016" t="s">
        <v>1166</v>
      </c>
      <c r="C115" s="1047" t="s">
        <v>1167</v>
      </c>
      <c r="D115" s="1048" t="s">
        <v>883</v>
      </c>
      <c r="E115" s="1019" t="s">
        <v>1560</v>
      </c>
      <c r="F115" s="1031" t="s">
        <v>732</v>
      </c>
    </row>
    <row r="116" spans="2:6" ht="12.75">
      <c r="B116" s="1020" t="s">
        <v>1446</v>
      </c>
      <c r="C116" s="1021" t="s">
        <v>1447</v>
      </c>
      <c r="D116" s="1022">
        <f aca="true" t="shared" si="9" ref="D116:F117">D117</f>
        <v>76000</v>
      </c>
      <c r="E116" s="1022">
        <f t="shared" si="9"/>
        <v>0</v>
      </c>
      <c r="F116" s="1023">
        <f t="shared" si="9"/>
        <v>76000</v>
      </c>
    </row>
    <row r="117" spans="2:6" ht="12.75">
      <c r="B117" s="1020" t="s">
        <v>1459</v>
      </c>
      <c r="C117" s="1021" t="s">
        <v>1461</v>
      </c>
      <c r="D117" s="1022">
        <f t="shared" si="9"/>
        <v>76000</v>
      </c>
      <c r="E117" s="1022">
        <f t="shared" si="9"/>
        <v>0</v>
      </c>
      <c r="F117" s="1023">
        <f t="shared" si="9"/>
        <v>76000</v>
      </c>
    </row>
    <row r="118" spans="2:6" ht="13.5" thickBot="1">
      <c r="B118" s="1024" t="s">
        <v>1460</v>
      </c>
      <c r="C118" s="1025" t="s">
        <v>1462</v>
      </c>
      <c r="D118" s="1057">
        <v>76000</v>
      </c>
      <c r="E118" s="1057">
        <v>0</v>
      </c>
      <c r="F118" s="1058">
        <f>E118+D118</f>
        <v>76000</v>
      </c>
    </row>
    <row r="121" ht="13.5" thickBot="1"/>
    <row r="122" spans="2:6" ht="13.5" thickBot="1">
      <c r="B122" s="1016" t="s">
        <v>1166</v>
      </c>
      <c r="C122" s="1047" t="s">
        <v>1167</v>
      </c>
      <c r="D122" s="1067" t="s">
        <v>883</v>
      </c>
      <c r="E122" s="1031" t="s">
        <v>1560</v>
      </c>
      <c r="F122" s="1031" t="s">
        <v>732</v>
      </c>
    </row>
    <row r="123" spans="2:6" ht="12.75">
      <c r="B123" s="1020" t="s">
        <v>1446</v>
      </c>
      <c r="C123" s="1021" t="s">
        <v>1447</v>
      </c>
      <c r="D123" s="1022">
        <f aca="true" t="shared" si="10" ref="D123:F124">D124</f>
        <v>154723.96</v>
      </c>
      <c r="E123" s="1022">
        <f t="shared" si="10"/>
        <v>3214599</v>
      </c>
      <c r="F123" s="1023">
        <f t="shared" si="10"/>
        <v>3369322.96</v>
      </c>
    </row>
    <row r="124" spans="2:6" ht="12.75">
      <c r="B124" s="1020" t="s">
        <v>1463</v>
      </c>
      <c r="C124" s="1021" t="s">
        <v>1465</v>
      </c>
      <c r="D124" s="1022">
        <f t="shared" si="10"/>
        <v>154723.96</v>
      </c>
      <c r="E124" s="1022">
        <f t="shared" si="10"/>
        <v>3214599</v>
      </c>
      <c r="F124" s="1023">
        <f t="shared" si="10"/>
        <v>3369322.96</v>
      </c>
    </row>
    <row r="125" spans="2:6" ht="13.5" thickBot="1">
      <c r="B125" s="1024" t="s">
        <v>1464</v>
      </c>
      <c r="C125" s="1025" t="s">
        <v>1465</v>
      </c>
      <c r="D125" s="1057">
        <v>154723.96</v>
      </c>
      <c r="E125" s="1057">
        <v>3214599</v>
      </c>
      <c r="F125" s="1058">
        <f>E125+D125</f>
        <v>3369322.96</v>
      </c>
    </row>
    <row r="128" ht="13.5" thickBot="1"/>
    <row r="129" spans="2:6" ht="13.5" thickBot="1">
      <c r="B129" s="1016" t="s">
        <v>1166</v>
      </c>
      <c r="C129" s="1047" t="s">
        <v>1167</v>
      </c>
      <c r="D129" s="1066" t="s">
        <v>883</v>
      </c>
      <c r="E129" s="1031" t="s">
        <v>1560</v>
      </c>
      <c r="F129" s="1031" t="s">
        <v>732</v>
      </c>
    </row>
    <row r="130" spans="2:6" ht="12.75">
      <c r="B130" s="1020" t="s">
        <v>1466</v>
      </c>
      <c r="C130" s="1021" t="s">
        <v>1470</v>
      </c>
      <c r="D130" s="1022">
        <f aca="true" t="shared" si="11" ref="D130:F131">D131</f>
        <v>97000</v>
      </c>
      <c r="E130" s="1022">
        <f t="shared" si="11"/>
        <v>0</v>
      </c>
      <c r="F130" s="1023">
        <f t="shared" si="11"/>
        <v>97000</v>
      </c>
    </row>
    <row r="131" spans="2:6" ht="12.75">
      <c r="B131" s="1020" t="s">
        <v>1467</v>
      </c>
      <c r="C131" s="1021" t="s">
        <v>1471</v>
      </c>
      <c r="D131" s="1022">
        <f t="shared" si="11"/>
        <v>97000</v>
      </c>
      <c r="E131" s="1022">
        <f t="shared" si="11"/>
        <v>0</v>
      </c>
      <c r="F131" s="1023">
        <f t="shared" si="11"/>
        <v>97000</v>
      </c>
    </row>
    <row r="132" spans="2:6" ht="13.5" thickBot="1">
      <c r="B132" s="1024" t="s">
        <v>1468</v>
      </c>
      <c r="C132" s="1025" t="s">
        <v>1469</v>
      </c>
      <c r="D132" s="1057">
        <v>97000</v>
      </c>
      <c r="E132" s="1057">
        <v>0</v>
      </c>
      <c r="F132" s="1058">
        <f>E132+D132</f>
        <v>97000</v>
      </c>
    </row>
    <row r="133" spans="2:6" ht="12.75">
      <c r="B133" s="1044"/>
      <c r="C133" s="1040"/>
      <c r="D133" s="1049"/>
      <c r="E133" s="1049"/>
      <c r="F133" s="1049"/>
    </row>
    <row r="134" spans="2:6" ht="13.5" thickBot="1">
      <c r="B134" s="1044"/>
      <c r="C134" s="1040"/>
      <c r="D134" s="1049"/>
      <c r="E134" s="1049"/>
      <c r="F134" s="1049"/>
    </row>
    <row r="135" spans="2:6" ht="13.5" thickBot="1">
      <c r="B135" s="1016" t="s">
        <v>1166</v>
      </c>
      <c r="C135" s="1047" t="s">
        <v>1167</v>
      </c>
      <c r="D135" s="1048" t="s">
        <v>883</v>
      </c>
      <c r="E135" s="1019" t="s">
        <v>1561</v>
      </c>
      <c r="F135" s="1031" t="s">
        <v>732</v>
      </c>
    </row>
    <row r="136" spans="2:6" ht="12.75">
      <c r="B136" s="1020" t="s">
        <v>1545</v>
      </c>
      <c r="C136" s="1021" t="s">
        <v>1549</v>
      </c>
      <c r="D136" s="1022">
        <f aca="true" t="shared" si="12" ref="D136:F137">D137</f>
        <v>5000</v>
      </c>
      <c r="E136" s="1022">
        <f t="shared" si="12"/>
        <v>0</v>
      </c>
      <c r="F136" s="1023">
        <f t="shared" si="12"/>
        <v>5000</v>
      </c>
    </row>
    <row r="137" spans="2:6" ht="12.75">
      <c r="B137" s="1020" t="s">
        <v>1546</v>
      </c>
      <c r="C137" s="1021" t="s">
        <v>1419</v>
      </c>
      <c r="D137" s="1022">
        <f t="shared" si="12"/>
        <v>5000</v>
      </c>
      <c r="E137" s="1022">
        <f t="shared" si="12"/>
        <v>0</v>
      </c>
      <c r="F137" s="1023">
        <f t="shared" si="12"/>
        <v>5000</v>
      </c>
    </row>
    <row r="138" spans="2:6" ht="13.5" thickBot="1">
      <c r="B138" s="1024" t="s">
        <v>1547</v>
      </c>
      <c r="C138" s="1025" t="s">
        <v>1548</v>
      </c>
      <c r="D138" s="1057">
        <v>5000</v>
      </c>
      <c r="E138" s="1057">
        <v>0</v>
      </c>
      <c r="F138" s="1058">
        <f>E138+D138</f>
        <v>5000</v>
      </c>
    </row>
    <row r="141" ht="13.5" thickBot="1"/>
    <row r="142" spans="2:6" ht="13.5" thickBot="1">
      <c r="B142" s="1028" t="s">
        <v>1166</v>
      </c>
      <c r="C142" s="1029" t="s">
        <v>1167</v>
      </c>
      <c r="D142" s="1048" t="s">
        <v>883</v>
      </c>
      <c r="E142" s="1019" t="s">
        <v>1561</v>
      </c>
      <c r="F142" s="1031" t="s">
        <v>732</v>
      </c>
    </row>
    <row r="143" spans="2:6" ht="12.75">
      <c r="B143" s="1020" t="s">
        <v>1472</v>
      </c>
      <c r="C143" s="1021" t="s">
        <v>1473</v>
      </c>
      <c r="D143" s="1022">
        <f>D144+D146</f>
        <v>205000</v>
      </c>
      <c r="E143" s="1022">
        <f>E144+E146</f>
        <v>4087500</v>
      </c>
      <c r="F143" s="1023">
        <f>F144+F146</f>
        <v>4292500</v>
      </c>
    </row>
    <row r="144" spans="2:6" ht="12.75">
      <c r="B144" s="1020" t="s">
        <v>1475</v>
      </c>
      <c r="C144" s="1021" t="s">
        <v>1476</v>
      </c>
      <c r="D144" s="1022">
        <f>D145</f>
        <v>5000</v>
      </c>
      <c r="E144" s="1022">
        <f>E145</f>
        <v>0</v>
      </c>
      <c r="F144" s="1023">
        <f>D144</f>
        <v>5000</v>
      </c>
    </row>
    <row r="145" spans="2:6" s="1051" customFormat="1" ht="12.75">
      <c r="B145" s="1039" t="s">
        <v>1487</v>
      </c>
      <c r="C145" s="1040" t="s">
        <v>1488</v>
      </c>
      <c r="D145" s="1049">
        <v>5000</v>
      </c>
      <c r="E145" s="1049"/>
      <c r="F145" s="1050">
        <f>E145</f>
        <v>0</v>
      </c>
    </row>
    <row r="146" spans="2:6" s="1034" customFormat="1" ht="12.75">
      <c r="B146" s="1020" t="s">
        <v>1474</v>
      </c>
      <c r="C146" s="1021" t="s">
        <v>1479</v>
      </c>
      <c r="D146" s="1022">
        <f>D147+D148</f>
        <v>200000</v>
      </c>
      <c r="E146" s="1022">
        <f>E147+E148</f>
        <v>4087500</v>
      </c>
      <c r="F146" s="1023">
        <f>F147+F148</f>
        <v>4287500</v>
      </c>
    </row>
    <row r="147" spans="2:6" s="1051" customFormat="1" ht="12.75">
      <c r="B147" s="1039" t="s">
        <v>1477</v>
      </c>
      <c r="C147" s="1040" t="s">
        <v>1480</v>
      </c>
      <c r="D147" s="1049">
        <v>200000</v>
      </c>
      <c r="E147" s="1049">
        <v>2867500</v>
      </c>
      <c r="F147" s="1050">
        <f>E147+D147</f>
        <v>3067500</v>
      </c>
    </row>
    <row r="148" spans="2:6" ht="13.5" thickBot="1">
      <c r="B148" s="1024" t="s">
        <v>1478</v>
      </c>
      <c r="C148" s="1025" t="s">
        <v>1481</v>
      </c>
      <c r="D148" s="1026">
        <v>0</v>
      </c>
      <c r="E148" s="1026">
        <v>1220000</v>
      </c>
      <c r="F148" s="1027">
        <f>E148</f>
        <v>1220000</v>
      </c>
    </row>
    <row r="150" ht="13.5" thickBot="1"/>
    <row r="151" spans="2:6" ht="13.5" thickBot="1">
      <c r="B151" s="1045" t="s">
        <v>1166</v>
      </c>
      <c r="C151" s="1029" t="s">
        <v>1167</v>
      </c>
      <c r="D151" s="1048" t="s">
        <v>883</v>
      </c>
      <c r="E151" s="1019" t="s">
        <v>1560</v>
      </c>
      <c r="F151" s="1031" t="s">
        <v>732</v>
      </c>
    </row>
    <row r="152" spans="2:6" ht="12.75">
      <c r="B152" s="1020" t="s">
        <v>1156</v>
      </c>
      <c r="C152" s="1021" t="s">
        <v>1482</v>
      </c>
      <c r="D152" s="1022">
        <f aca="true" t="shared" si="13" ref="D152:F153">D153</f>
        <v>20000</v>
      </c>
      <c r="E152" s="1022">
        <f t="shared" si="13"/>
        <v>0</v>
      </c>
      <c r="F152" s="1023">
        <f t="shared" si="13"/>
        <v>20000</v>
      </c>
    </row>
    <row r="153" spans="2:6" ht="12.75">
      <c r="B153" s="1020" t="s">
        <v>1483</v>
      </c>
      <c r="C153" s="1021" t="s">
        <v>1485</v>
      </c>
      <c r="D153" s="1022">
        <f t="shared" si="13"/>
        <v>20000</v>
      </c>
      <c r="E153" s="1022">
        <f t="shared" si="13"/>
        <v>0</v>
      </c>
      <c r="F153" s="1023">
        <f t="shared" si="13"/>
        <v>20000</v>
      </c>
    </row>
    <row r="154" spans="2:6" ht="13.5" thickBot="1">
      <c r="B154" s="1024" t="s">
        <v>1484</v>
      </c>
      <c r="C154" s="1025" t="s">
        <v>1486</v>
      </c>
      <c r="D154" s="1057">
        <v>20000</v>
      </c>
      <c r="E154" s="1057">
        <v>0</v>
      </c>
      <c r="F154" s="1058">
        <f>E154+D154</f>
        <v>20000</v>
      </c>
    </row>
    <row r="157" ht="13.5" thickBot="1"/>
    <row r="158" spans="2:6" ht="13.5" thickBot="1">
      <c r="B158" s="1016" t="s">
        <v>1166</v>
      </c>
      <c r="C158" s="1047" t="s">
        <v>1167</v>
      </c>
      <c r="D158" s="1048" t="s">
        <v>883</v>
      </c>
      <c r="E158" s="1019" t="s">
        <v>1560</v>
      </c>
      <c r="F158" s="1031" t="s">
        <v>732</v>
      </c>
    </row>
    <row r="159" spans="2:6" ht="12.75">
      <c r="B159" s="1020" t="s">
        <v>1489</v>
      </c>
      <c r="C159" s="1021" t="s">
        <v>1490</v>
      </c>
      <c r="D159" s="1022">
        <f aca="true" t="shared" si="14" ref="D159:F160">D160</f>
        <v>513448.2</v>
      </c>
      <c r="E159" s="1022">
        <f t="shared" si="14"/>
        <v>0</v>
      </c>
      <c r="F159" s="1023">
        <f t="shared" si="14"/>
        <v>513448.2</v>
      </c>
    </row>
    <row r="160" spans="2:6" ht="12.75">
      <c r="B160" s="1020" t="s">
        <v>1491</v>
      </c>
      <c r="C160" s="1021" t="s">
        <v>1493</v>
      </c>
      <c r="D160" s="1022">
        <f t="shared" si="14"/>
        <v>513448.2</v>
      </c>
      <c r="E160" s="1022">
        <f t="shared" si="14"/>
        <v>0</v>
      </c>
      <c r="F160" s="1023">
        <f t="shared" si="14"/>
        <v>513448.2</v>
      </c>
    </row>
    <row r="161" spans="2:6" ht="13.5" thickBot="1">
      <c r="B161" s="1024" t="s">
        <v>1492</v>
      </c>
      <c r="C161" s="1025" t="s">
        <v>1494</v>
      </c>
      <c r="D161" s="1057">
        <v>513448.2</v>
      </c>
      <c r="E161" s="1057">
        <v>0</v>
      </c>
      <c r="F161" s="1058">
        <f>E161+D161</f>
        <v>513448.2</v>
      </c>
    </row>
    <row r="164" ht="13.5" thickBot="1"/>
    <row r="165" spans="2:6" ht="13.5" thickBot="1">
      <c r="B165" s="1016" t="s">
        <v>1166</v>
      </c>
      <c r="C165" s="1047" t="s">
        <v>1167</v>
      </c>
      <c r="D165" s="1048" t="s">
        <v>1562</v>
      </c>
      <c r="E165" s="1019" t="s">
        <v>1561</v>
      </c>
      <c r="F165" s="1031" t="s">
        <v>732</v>
      </c>
    </row>
    <row r="166" spans="2:6" ht="12.75">
      <c r="B166" s="1020" t="s">
        <v>959</v>
      </c>
      <c r="C166" s="1021" t="s">
        <v>1495</v>
      </c>
      <c r="D166" s="1022">
        <f aca="true" t="shared" si="15" ref="D166:F167">D167</f>
        <v>39000</v>
      </c>
      <c r="E166" s="1022">
        <f t="shared" si="15"/>
        <v>0</v>
      </c>
      <c r="F166" s="1023">
        <f t="shared" si="15"/>
        <v>39000</v>
      </c>
    </row>
    <row r="167" spans="2:6" ht="12.75">
      <c r="B167" s="1020" t="s">
        <v>1496</v>
      </c>
      <c r="C167" s="1021" t="s">
        <v>1497</v>
      </c>
      <c r="D167" s="1022">
        <f t="shared" si="15"/>
        <v>39000</v>
      </c>
      <c r="E167" s="1022">
        <f t="shared" si="15"/>
        <v>0</v>
      </c>
      <c r="F167" s="1023">
        <f t="shared" si="15"/>
        <v>39000</v>
      </c>
    </row>
    <row r="168" spans="2:6" ht="13.5" thickBot="1">
      <c r="B168" s="1024" t="s">
        <v>1498</v>
      </c>
      <c r="C168" s="1025" t="s">
        <v>1499</v>
      </c>
      <c r="D168" s="1057">
        <v>39000</v>
      </c>
      <c r="E168" s="1057">
        <v>0</v>
      </c>
      <c r="F168" s="1058">
        <f>E168+D168</f>
        <v>39000</v>
      </c>
    </row>
    <row r="171" ht="13.5" thickBot="1"/>
    <row r="172" spans="2:6" ht="13.5" thickBot="1">
      <c r="B172" s="1016" t="s">
        <v>1166</v>
      </c>
      <c r="C172" s="1047" t="s">
        <v>1167</v>
      </c>
      <c r="D172" s="1048" t="s">
        <v>883</v>
      </c>
      <c r="E172" s="1019" t="s">
        <v>1561</v>
      </c>
      <c r="F172" s="1031" t="s">
        <v>732</v>
      </c>
    </row>
    <row r="173" spans="2:6" ht="12.75">
      <c r="B173" s="1053" t="s">
        <v>1504</v>
      </c>
      <c r="C173" s="1054" t="s">
        <v>1505</v>
      </c>
      <c r="D173" s="1022">
        <f>D174+D178</f>
        <v>995920</v>
      </c>
      <c r="E173" s="1022">
        <f>E174+E178</f>
        <v>0</v>
      </c>
      <c r="F173" s="1056">
        <f>F174+F178</f>
        <v>995920</v>
      </c>
    </row>
    <row r="174" spans="2:6" ht="12.75">
      <c r="B174" s="1020" t="s">
        <v>1506</v>
      </c>
      <c r="C174" s="1021" t="s">
        <v>1507</v>
      </c>
      <c r="D174" s="1022">
        <f>SUM(D175:D177)</f>
        <v>975920</v>
      </c>
      <c r="E174" s="1022">
        <f>SUM(E175:E177)</f>
        <v>0</v>
      </c>
      <c r="F174" s="1023">
        <f>SUM(F175:F177)</f>
        <v>975920</v>
      </c>
    </row>
    <row r="175" spans="2:6" ht="12.75">
      <c r="B175" s="1039" t="s">
        <v>1508</v>
      </c>
      <c r="C175" s="1040" t="s">
        <v>1509</v>
      </c>
      <c r="D175" s="1049">
        <v>414920</v>
      </c>
      <c r="E175" s="1049">
        <v>0</v>
      </c>
      <c r="F175" s="1050">
        <f>SUM(D175:E175)</f>
        <v>414920</v>
      </c>
    </row>
    <row r="176" spans="2:6" ht="12.75">
      <c r="B176" s="1039" t="s">
        <v>1510</v>
      </c>
      <c r="C176" s="1040" t="s">
        <v>1511</v>
      </c>
      <c r="D176" s="1049">
        <v>76000</v>
      </c>
      <c r="E176" s="1049">
        <v>0</v>
      </c>
      <c r="F176" s="1050">
        <f>SUM(D176:E176)</f>
        <v>76000</v>
      </c>
    </row>
    <row r="177" spans="2:6" ht="12.75">
      <c r="B177" s="1039" t="s">
        <v>1512</v>
      </c>
      <c r="C177" s="1040" t="s">
        <v>1513</v>
      </c>
      <c r="D177" s="1049">
        <v>485000</v>
      </c>
      <c r="E177" s="1049">
        <v>0</v>
      </c>
      <c r="F177" s="1050">
        <f>SUM(D177:E177)</f>
        <v>485000</v>
      </c>
    </row>
    <row r="178" spans="2:6" s="948" customFormat="1" ht="12.75">
      <c r="B178" s="1041" t="s">
        <v>1514</v>
      </c>
      <c r="C178" s="944" t="s">
        <v>1516</v>
      </c>
      <c r="D178" s="1042">
        <f>D179</f>
        <v>20000</v>
      </c>
      <c r="E178" s="1042">
        <v>0</v>
      </c>
      <c r="F178" s="1043">
        <f>SUM(D178:E178)</f>
        <v>20000</v>
      </c>
    </row>
    <row r="179" spans="2:6" s="955" customFormat="1" ht="13.5" thickBot="1">
      <c r="B179" s="1059" t="s">
        <v>1515</v>
      </c>
      <c r="C179" s="1025" t="s">
        <v>1517</v>
      </c>
      <c r="D179" s="1060">
        <v>20000</v>
      </c>
      <c r="E179" s="1060">
        <v>0</v>
      </c>
      <c r="F179" s="1061">
        <f>D179</f>
        <v>20000</v>
      </c>
    </row>
    <row r="181" ht="13.5" thickBot="1"/>
    <row r="182" spans="2:6" ht="13.5" thickBot="1">
      <c r="B182" s="1028" t="s">
        <v>1166</v>
      </c>
      <c r="C182" s="1029" t="s">
        <v>1167</v>
      </c>
      <c r="D182" s="1066" t="s">
        <v>883</v>
      </c>
      <c r="E182" s="1031" t="s">
        <v>1561</v>
      </c>
      <c r="F182" s="1031" t="s">
        <v>732</v>
      </c>
    </row>
    <row r="183" spans="2:6" ht="12.75">
      <c r="B183" s="1020" t="s">
        <v>1518</v>
      </c>
      <c r="C183" s="1021" t="s">
        <v>1519</v>
      </c>
      <c r="D183" s="1022">
        <f>D184</f>
        <v>1074500</v>
      </c>
      <c r="E183" s="1022">
        <f>E184</f>
        <v>0</v>
      </c>
      <c r="F183" s="1023">
        <f>F184</f>
        <v>1074500</v>
      </c>
    </row>
    <row r="184" spans="2:6" ht="12.75">
      <c r="B184" s="1020" t="s">
        <v>1520</v>
      </c>
      <c r="C184" s="1021" t="s">
        <v>1521</v>
      </c>
      <c r="D184" s="1022">
        <f>D185+D186</f>
        <v>1074500</v>
      </c>
      <c r="E184" s="1022">
        <f>E185+E186</f>
        <v>0</v>
      </c>
      <c r="F184" s="1023">
        <f>F185+F186</f>
        <v>1074500</v>
      </c>
    </row>
    <row r="185" spans="2:6" ht="12.75">
      <c r="B185" s="1039" t="s">
        <v>1522</v>
      </c>
      <c r="C185" s="1040" t="s">
        <v>1523</v>
      </c>
      <c r="D185" s="1049">
        <v>589500</v>
      </c>
      <c r="E185" s="1049">
        <v>0</v>
      </c>
      <c r="F185" s="1050">
        <f>E185+D185</f>
        <v>589500</v>
      </c>
    </row>
    <row r="186" spans="2:6" s="955" customFormat="1" ht="13.5" thickBot="1">
      <c r="B186" s="1059" t="s">
        <v>1524</v>
      </c>
      <c r="C186" s="958" t="s">
        <v>790</v>
      </c>
      <c r="D186" s="1060">
        <v>485000</v>
      </c>
      <c r="E186" s="1060">
        <v>0</v>
      </c>
      <c r="F186" s="1061">
        <f>E186+D186</f>
        <v>485000</v>
      </c>
    </row>
    <row r="189" ht="13.5" thickBot="1"/>
    <row r="190" spans="2:6" ht="13.5" thickBot="1">
      <c r="B190" s="1028" t="s">
        <v>1166</v>
      </c>
      <c r="C190" s="1029" t="s">
        <v>1167</v>
      </c>
      <c r="D190" s="1066" t="s">
        <v>883</v>
      </c>
      <c r="E190" s="1031" t="s">
        <v>1560</v>
      </c>
      <c r="F190" s="1031" t="s">
        <v>732</v>
      </c>
    </row>
    <row r="191" spans="2:6" ht="12.75">
      <c r="B191" s="1020" t="s">
        <v>1525</v>
      </c>
      <c r="C191" s="1021" t="s">
        <v>1526</v>
      </c>
      <c r="D191" s="1022">
        <f>D192</f>
        <v>85000</v>
      </c>
      <c r="E191" s="1022">
        <f>E192</f>
        <v>0</v>
      </c>
      <c r="F191" s="1023">
        <f>F192</f>
        <v>85000</v>
      </c>
    </row>
    <row r="192" spans="2:6" ht="12.75">
      <c r="B192" s="1020" t="s">
        <v>1527</v>
      </c>
      <c r="C192" s="1021" t="s">
        <v>1528</v>
      </c>
      <c r="D192" s="1022">
        <f>D193+D194</f>
        <v>85000</v>
      </c>
      <c r="E192" s="1022">
        <f>E193+E194</f>
        <v>0</v>
      </c>
      <c r="F192" s="1023">
        <f>F193+F194</f>
        <v>85000</v>
      </c>
    </row>
    <row r="193" spans="2:6" ht="12.75">
      <c r="B193" s="1039" t="s">
        <v>1529</v>
      </c>
      <c r="C193" s="1040" t="s">
        <v>1530</v>
      </c>
      <c r="D193" s="1049">
        <v>35000</v>
      </c>
      <c r="E193" s="1049">
        <v>0</v>
      </c>
      <c r="F193" s="1050">
        <f>E193+D193</f>
        <v>35000</v>
      </c>
    </row>
    <row r="194" spans="2:6" ht="13.5" thickBot="1">
      <c r="B194" s="1059" t="s">
        <v>1531</v>
      </c>
      <c r="C194" s="958" t="s">
        <v>1532</v>
      </c>
      <c r="D194" s="1060">
        <v>50000</v>
      </c>
      <c r="E194" s="1060">
        <v>0</v>
      </c>
      <c r="F194" s="1061">
        <f>E194+D194</f>
        <v>50000</v>
      </c>
    </row>
    <row r="197" ht="13.5" thickBot="1"/>
    <row r="198" spans="2:6" ht="13.5" thickBot="1">
      <c r="B198" s="1028" t="s">
        <v>1166</v>
      </c>
      <c r="C198" s="1029" t="s">
        <v>1167</v>
      </c>
      <c r="D198" s="1066" t="s">
        <v>883</v>
      </c>
      <c r="E198" s="1031" t="s">
        <v>1560</v>
      </c>
      <c r="F198" s="1031" t="s">
        <v>732</v>
      </c>
    </row>
    <row r="199" spans="2:6" ht="12.75">
      <c r="B199" s="1020" t="s">
        <v>1533</v>
      </c>
      <c r="C199" s="1021" t="s">
        <v>1534</v>
      </c>
      <c r="D199" s="1022">
        <f aca="true" t="shared" si="16" ref="D199:F200">D200</f>
        <v>1653000</v>
      </c>
      <c r="E199" s="1022">
        <f t="shared" si="16"/>
        <v>0</v>
      </c>
      <c r="F199" s="1023">
        <f t="shared" si="16"/>
        <v>1653000</v>
      </c>
    </row>
    <row r="200" spans="2:6" ht="12.75">
      <c r="B200" s="1020" t="s">
        <v>1535</v>
      </c>
      <c r="C200" s="1021" t="s">
        <v>1536</v>
      </c>
      <c r="D200" s="1022">
        <f t="shared" si="16"/>
        <v>1653000</v>
      </c>
      <c r="E200" s="1022">
        <f t="shared" si="16"/>
        <v>0</v>
      </c>
      <c r="F200" s="1023">
        <f t="shared" si="16"/>
        <v>1653000</v>
      </c>
    </row>
    <row r="201" spans="2:6" ht="13.5" thickBot="1">
      <c r="B201" s="1024" t="s">
        <v>1537</v>
      </c>
      <c r="C201" s="1025" t="s">
        <v>1538</v>
      </c>
      <c r="D201" s="1057">
        <v>1653000</v>
      </c>
      <c r="E201" s="1057">
        <v>0</v>
      </c>
      <c r="F201" s="1058">
        <f>E201+D201</f>
        <v>1653000</v>
      </c>
    </row>
    <row r="204" ht="13.5" thickBot="1"/>
    <row r="205" spans="2:6" ht="13.5" thickBot="1">
      <c r="B205" s="1028" t="s">
        <v>1166</v>
      </c>
      <c r="C205" s="1029" t="s">
        <v>1167</v>
      </c>
      <c r="D205" s="1066" t="s">
        <v>883</v>
      </c>
      <c r="E205" s="1031" t="s">
        <v>1560</v>
      </c>
      <c r="F205" s="1031" t="s">
        <v>732</v>
      </c>
    </row>
    <row r="206" spans="2:6" ht="12.75">
      <c r="B206" s="1020" t="s">
        <v>1539</v>
      </c>
      <c r="C206" s="1021" t="s">
        <v>1542</v>
      </c>
      <c r="D206" s="1022">
        <f aca="true" t="shared" si="17" ref="D206:F207">D207</f>
        <v>250000</v>
      </c>
      <c r="E206" s="1022">
        <f t="shared" si="17"/>
        <v>0</v>
      </c>
      <c r="F206" s="1023">
        <f t="shared" si="17"/>
        <v>250000</v>
      </c>
    </row>
    <row r="207" spans="2:6" ht="12.75">
      <c r="B207" s="1020" t="s">
        <v>1540</v>
      </c>
      <c r="C207" s="1021" t="s">
        <v>1114</v>
      </c>
      <c r="D207" s="1022">
        <f t="shared" si="17"/>
        <v>250000</v>
      </c>
      <c r="E207" s="1022">
        <f t="shared" si="17"/>
        <v>0</v>
      </c>
      <c r="F207" s="1023">
        <f t="shared" si="17"/>
        <v>250000</v>
      </c>
    </row>
    <row r="208" spans="2:6" ht="13.5" thickBot="1">
      <c r="B208" s="1024" t="s">
        <v>1541</v>
      </c>
      <c r="C208" s="1025" t="s">
        <v>1114</v>
      </c>
      <c r="D208" s="1057">
        <v>250000</v>
      </c>
      <c r="E208" s="1057">
        <v>0</v>
      </c>
      <c r="F208" s="1058">
        <f>E208+D208</f>
        <v>250000</v>
      </c>
    </row>
    <row r="209" ht="13.5" thickBot="1"/>
    <row r="210" spans="2:8" ht="13.5" thickBot="1">
      <c r="B210" s="1062" t="s">
        <v>1563</v>
      </c>
      <c r="C210" s="1063"/>
      <c r="D210" s="1063"/>
      <c r="E210" s="1063"/>
      <c r="F210" s="1064">
        <f>F206+F199+F191+F183+F173+F166+F159+F152+F143+F130+F123+F116+F105+F98+F82+F76+F69+F63+F56+F50+F36+F29+F24+F10+F4+F136</f>
        <v>44449000</v>
      </c>
      <c r="H210" s="1065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73" r:id="rId1"/>
  <headerFooter>
    <oddHeader>&amp;CDemonstrativo da Despesa por Função, Subfunção e Programa, conforme vínculos C/ Recurso
ANEXO 8, da LEI 4320/64
L.D.O EXERCÍCIO DE 2018
</oddHeader>
  </headerFooter>
  <rowBreaks count="2" manualBreakCount="2">
    <brk id="48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0.140625" style="559" customWidth="1"/>
    <col min="2" max="2" width="14.8515625" style="559" customWidth="1"/>
    <col min="3" max="3" width="16.57421875" style="559" customWidth="1"/>
    <col min="4" max="4" width="17.8515625" style="559" customWidth="1"/>
    <col min="5" max="5" width="16.28125" style="559" customWidth="1"/>
    <col min="6" max="6" width="15.28125" style="559" customWidth="1"/>
    <col min="7" max="16384" width="9.140625" style="559" customWidth="1"/>
  </cols>
  <sheetData>
    <row r="1" spans="1:6" ht="12.75">
      <c r="A1" s="557" t="str">
        <f>Parâmetros!A7</f>
        <v>Município de Balneário Pinhal</v>
      </c>
      <c r="B1" s="557"/>
      <c r="C1" s="557"/>
      <c r="D1" s="558"/>
      <c r="E1" s="558"/>
      <c r="F1" s="558"/>
    </row>
    <row r="2" spans="1:6" ht="12.75">
      <c r="A2" s="560" t="str">
        <f>Parâmetros!A8</f>
        <v>LEI DE DIRETRIZES ORÇAMENTÁRIAS  PARA 2018</v>
      </c>
      <c r="B2" s="560"/>
      <c r="C2" s="560"/>
      <c r="D2" s="558"/>
      <c r="E2" s="558"/>
      <c r="F2" s="558"/>
    </row>
    <row r="3" spans="1:6" ht="12.75">
      <c r="A3" s="561" t="s">
        <v>427</v>
      </c>
      <c r="B3" s="561"/>
      <c r="C3" s="561"/>
      <c r="D3" s="561"/>
      <c r="E3" s="561"/>
      <c r="F3" s="561"/>
    </row>
    <row r="4" spans="1:6" ht="13.5" thickBot="1">
      <c r="A4" s="576" t="s">
        <v>437</v>
      </c>
      <c r="B4" s="577"/>
      <c r="C4" s="577"/>
      <c r="D4" s="577"/>
      <c r="E4" s="577"/>
      <c r="F4" s="577"/>
    </row>
    <row r="5" spans="1:6" ht="12.75">
      <c r="A5" s="578" t="s">
        <v>59</v>
      </c>
      <c r="B5" s="579">
        <v>2016</v>
      </c>
      <c r="C5" s="579">
        <f>B5+1</f>
        <v>2017</v>
      </c>
      <c r="D5" s="579">
        <f>C5+1</f>
        <v>2018</v>
      </c>
      <c r="E5" s="579">
        <f>D5+1</f>
        <v>2019</v>
      </c>
      <c r="F5" s="580">
        <f>E5+1</f>
        <v>2020</v>
      </c>
    </row>
    <row r="6" spans="1:6" ht="12.75">
      <c r="A6" s="581" t="s">
        <v>428</v>
      </c>
      <c r="B6" s="562">
        <f>Projeções!E8</f>
        <v>44593352.35000001</v>
      </c>
      <c r="C6" s="562">
        <f>Projeções!F8</f>
        <v>44410097.46</v>
      </c>
      <c r="D6" s="562">
        <f>Projeções!G8</f>
        <v>45571866.62286158</v>
      </c>
      <c r="E6" s="562">
        <f>Projeções!H8</f>
        <v>47503227.95569311</v>
      </c>
      <c r="F6" s="582">
        <f>Projeções!I8</f>
        <v>49464385.530867964</v>
      </c>
    </row>
    <row r="7" spans="1:6" ht="12.75">
      <c r="A7" s="583" t="s">
        <v>421</v>
      </c>
      <c r="B7" s="563">
        <f>B8+B9+B10+B11+B12</f>
        <v>6353259.175999999</v>
      </c>
      <c r="C7" s="563">
        <f>C8+C9+C10+C11+C12</f>
        <v>6320786.17</v>
      </c>
      <c r="D7" s="563">
        <f>D8+D9+D10+D11+D12</f>
        <v>6124765.54051074</v>
      </c>
      <c r="E7" s="563">
        <f>E8+E9+E10+E11+E12</f>
        <v>6374073.424262928</v>
      </c>
      <c r="F7" s="584">
        <f>F8+F9+F10+F11+F12</f>
        <v>6606859.237057196</v>
      </c>
    </row>
    <row r="8" spans="1:6" ht="12.75">
      <c r="A8" s="585" t="s">
        <v>422</v>
      </c>
      <c r="B8" s="564">
        <f>Projeções!E10+Projeções!E11</f>
        <v>0</v>
      </c>
      <c r="C8" s="564">
        <f>Projeções!F10+Projeções!F11</f>
        <v>0</v>
      </c>
      <c r="D8" s="564">
        <f>Projeções!G10+Projeções!G11</f>
        <v>0</v>
      </c>
      <c r="E8" s="564">
        <f>Projeções!H10+Projeções!H11</f>
        <v>0</v>
      </c>
      <c r="F8" s="586">
        <f>Projeções!I10+Projeções!I11</f>
        <v>0</v>
      </c>
    </row>
    <row r="9" spans="1:6" ht="12.75">
      <c r="A9" s="587" t="s">
        <v>423</v>
      </c>
      <c r="B9" s="565">
        <f>Projeções!E17</f>
        <v>1047830.1</v>
      </c>
      <c r="C9" s="565">
        <f>Projeções!F17</f>
        <v>1200000</v>
      </c>
      <c r="D9" s="565">
        <f>Projeções!G17</f>
        <v>1258196.95</v>
      </c>
      <c r="E9" s="565">
        <f>Projeções!H17</f>
        <v>1302964.121030481</v>
      </c>
      <c r="F9" s="588">
        <f>Projeções!I17</f>
        <v>1323941.0146678954</v>
      </c>
    </row>
    <row r="10" spans="1:6" ht="12.75">
      <c r="A10" s="589" t="s">
        <v>424</v>
      </c>
      <c r="B10" s="565">
        <f>Projeções!E69</f>
        <v>0</v>
      </c>
      <c r="C10" s="565">
        <f>Projeções!F69</f>
        <v>0</v>
      </c>
      <c r="D10" s="565">
        <f>Projeções!G69</f>
        <v>0</v>
      </c>
      <c r="E10" s="565">
        <f>Projeções!H69</f>
        <v>0</v>
      </c>
      <c r="F10" s="588">
        <f>Projeções!I69</f>
        <v>0</v>
      </c>
    </row>
    <row r="11" spans="1:6" ht="12.75">
      <c r="A11" s="589" t="s">
        <v>438</v>
      </c>
      <c r="B11" s="565">
        <f>Projeções!E28</f>
        <v>2102196.18</v>
      </c>
      <c r="C11" s="565">
        <f>Projeções!F28</f>
        <v>2000000</v>
      </c>
      <c r="D11" s="565">
        <f>Projeções!G28</f>
        <v>2118923.97</v>
      </c>
      <c r="E11" s="565">
        <f>Projeções!H28</f>
        <v>2205315.96</v>
      </c>
      <c r="F11" s="588">
        <f>Projeções!I28</f>
        <v>2294755.51</v>
      </c>
    </row>
    <row r="12" spans="1:6" ht="12.75">
      <c r="A12" s="587" t="s">
        <v>434</v>
      </c>
      <c r="B12" s="565">
        <f>-(Projeções!E93+Projeções!E94+Projeções!E95)</f>
        <v>3203232.8959999993</v>
      </c>
      <c r="C12" s="565">
        <f>-(Projeções!F93+Projeções!F94+Projeções!F95)</f>
        <v>3120786.17</v>
      </c>
      <c r="D12" s="565">
        <f>-(Projeções!G93+Projeções!G94+Projeções!G95)</f>
        <v>2747644.6205107407</v>
      </c>
      <c r="E12" s="565">
        <f>-(Projeções!H93+Projeções!H94+Projeções!H95)</f>
        <v>2865793.3432324473</v>
      </c>
      <c r="F12" s="588">
        <f>-(Projeções!I93+Projeções!I94+Projeções!I95)</f>
        <v>2988162.712389301</v>
      </c>
    </row>
    <row r="13" spans="1:6" ht="12.75">
      <c r="A13" s="583" t="s">
        <v>425</v>
      </c>
      <c r="B13" s="563">
        <f>-(IF(Projeções!E62+Projeções!E94&gt;0,0,Projeções!E62+Projeções!E94))</f>
        <v>0</v>
      </c>
      <c r="C13" s="563">
        <f>-(IF(Projeções!F62+Projeções!F94&gt;0,0,Projeções!F62+Projeções!F94))</f>
        <v>0</v>
      </c>
      <c r="D13" s="563">
        <f>-(IF(Projeções!G62+Projeções!G94&gt;0,0,Projeções!G62+Projeções!G94))</f>
        <v>0</v>
      </c>
      <c r="E13" s="563">
        <f>-(IF(Projeções!H62+Projeções!H94&gt;0,0,Projeções!H62+Projeções!H94))</f>
        <v>0</v>
      </c>
      <c r="F13" s="584">
        <f>-(IF(Projeções!I62+Projeções!I94&gt;0,0,Projeções!I62+Projeções!I94))</f>
        <v>0</v>
      </c>
    </row>
    <row r="14" spans="1:6" ht="13.5" thickBot="1">
      <c r="A14" s="590" t="s">
        <v>426</v>
      </c>
      <c r="B14" s="591">
        <f>B6-B7+B13</f>
        <v>38240093.17400001</v>
      </c>
      <c r="C14" s="591">
        <f>C6-C7+C13</f>
        <v>38089311.29</v>
      </c>
      <c r="D14" s="591">
        <f>D6-D7+D13</f>
        <v>39447101.082350835</v>
      </c>
      <c r="E14" s="591">
        <f>E6-E7+E13</f>
        <v>41129154.531430185</v>
      </c>
      <c r="F14" s="592">
        <f>F6-F7+F13</f>
        <v>42857526.29381077</v>
      </c>
    </row>
    <row r="16" ht="12.75">
      <c r="A16" s="566"/>
    </row>
    <row r="19" ht="12.75">
      <c r="B19" s="567"/>
    </row>
  </sheetData>
  <sheetProtection/>
  <mergeCells count="4">
    <mergeCell ref="A1:F1"/>
    <mergeCell ref="A2:F2"/>
    <mergeCell ref="A3:F3"/>
    <mergeCell ref="A4:F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19.00390625" style="0" customWidth="1"/>
    <col min="4" max="4" width="19.7109375" style="0" customWidth="1"/>
  </cols>
  <sheetData>
    <row r="1" spans="1:4" ht="12.75">
      <c r="A1" s="573" t="str">
        <f>Parâmetros!A7</f>
        <v>Município de Balneário Pinhal</v>
      </c>
      <c r="B1" s="574"/>
      <c r="C1" s="574"/>
      <c r="D1" s="575"/>
    </row>
    <row r="2" spans="1:4" ht="12.75">
      <c r="A2" s="568" t="s">
        <v>521</v>
      </c>
      <c r="B2" s="343"/>
      <c r="C2" s="343"/>
      <c r="D2" s="569"/>
    </row>
    <row r="3" spans="1:4" ht="13.5">
      <c r="A3" s="570" t="s">
        <v>522</v>
      </c>
      <c r="B3" s="344"/>
      <c r="C3" s="344"/>
      <c r="D3" s="571"/>
    </row>
    <row r="4" spans="1:4" ht="15.75" thickBot="1">
      <c r="A4" s="572"/>
      <c r="B4" s="593"/>
      <c r="C4" s="593"/>
      <c r="D4" s="594"/>
    </row>
    <row r="5" spans="1:4" ht="12.75">
      <c r="A5" s="595" t="s">
        <v>526</v>
      </c>
      <c r="B5" s="596"/>
      <c r="C5" s="596"/>
      <c r="D5" s="597"/>
    </row>
    <row r="6" spans="1:4" ht="12.75">
      <c r="A6" s="598"/>
      <c r="B6" s="599">
        <f>Parâmetros!E10</f>
        <v>2018</v>
      </c>
      <c r="C6" s="599">
        <f>Parâmetros!F10</f>
        <v>2019</v>
      </c>
      <c r="D6" s="600">
        <f>Parâmetros!G10</f>
        <v>2020</v>
      </c>
    </row>
    <row r="7" spans="1:4" ht="12.75">
      <c r="A7" s="601" t="s">
        <v>523</v>
      </c>
      <c r="B7" s="602">
        <f>RCL!D14*0.54</f>
        <v>21301434.584469453</v>
      </c>
      <c r="C7" s="602">
        <f>RCL!E14*0.54</f>
        <v>22209743.446972303</v>
      </c>
      <c r="D7" s="603">
        <f>RCL!F14*0.54</f>
        <v>23143064.19865782</v>
      </c>
    </row>
    <row r="8" spans="1:4" ht="12.75">
      <c r="A8" s="601" t="s">
        <v>524</v>
      </c>
      <c r="B8" s="602">
        <f>RCL!D14*0.513</f>
        <v>20236362.855245978</v>
      </c>
      <c r="C8" s="602">
        <f>RCL!E14*0.513</f>
        <v>21099256.274623685</v>
      </c>
      <c r="D8" s="603">
        <f>RCL!F14*0.513</f>
        <v>21985910.988724925</v>
      </c>
    </row>
    <row r="9" spans="1:4" ht="12.75">
      <c r="A9" s="601" t="s">
        <v>525</v>
      </c>
      <c r="B9" s="602">
        <f>RCL!D14*0.486</f>
        <v>19171291.126022507</v>
      </c>
      <c r="C9" s="602">
        <f>RCL!E14*0.486</f>
        <v>19988769.10227507</v>
      </c>
      <c r="D9" s="603">
        <f>RCL!F14*0.486</f>
        <v>20828757.778792035</v>
      </c>
    </row>
    <row r="10" spans="1:4" ht="12.75">
      <c r="A10" s="604"/>
      <c r="B10" s="605"/>
      <c r="C10" s="605"/>
      <c r="D10" s="606"/>
    </row>
    <row r="11" spans="1:4" ht="12.75">
      <c r="A11" s="607"/>
      <c r="B11" s="608"/>
      <c r="C11" s="608"/>
      <c r="D11" s="609"/>
    </row>
    <row r="12" spans="1:4" ht="12.75">
      <c r="A12" s="607"/>
      <c r="B12" s="608"/>
      <c r="C12" s="608"/>
      <c r="D12" s="609"/>
    </row>
    <row r="13" spans="1:4" ht="12.75">
      <c r="A13" s="610" t="s">
        <v>527</v>
      </c>
      <c r="B13" s="611"/>
      <c r="C13" s="611"/>
      <c r="D13" s="612"/>
    </row>
    <row r="14" spans="1:4" ht="12.75">
      <c r="A14" s="598"/>
      <c r="B14" s="599">
        <f>Parâmetros!E10</f>
        <v>2018</v>
      </c>
      <c r="C14" s="599">
        <f>Parâmetros!F10</f>
        <v>2019</v>
      </c>
      <c r="D14" s="600">
        <f>Parâmetros!G10</f>
        <v>2020</v>
      </c>
    </row>
    <row r="15" spans="1:4" ht="12.75">
      <c r="A15" s="613" t="s">
        <v>528</v>
      </c>
      <c r="B15" s="614">
        <f>RCL!D14*0.06</f>
        <v>2366826.06494105</v>
      </c>
      <c r="C15" s="614">
        <f>RCL!E14*0.06</f>
        <v>2467749.271885811</v>
      </c>
      <c r="D15" s="615">
        <f>RCL!F14*0.06</f>
        <v>2571451.577628646</v>
      </c>
    </row>
    <row r="16" spans="1:4" ht="12.75">
      <c r="A16" s="616" t="s">
        <v>529</v>
      </c>
      <c r="B16" s="602">
        <f>RCL!D14*0.057</f>
        <v>2248484.761693998</v>
      </c>
      <c r="C16" s="602">
        <f>RCL!E14*0.057</f>
        <v>2344361.8082915205</v>
      </c>
      <c r="D16" s="603">
        <f>RCL!F14*0.057</f>
        <v>2442878.9987472137</v>
      </c>
    </row>
    <row r="17" spans="1:4" ht="13.5" thickBot="1">
      <c r="A17" s="617" t="s">
        <v>530</v>
      </c>
      <c r="B17" s="618">
        <f>RCL!D14*0.054</f>
        <v>2130143.458446945</v>
      </c>
      <c r="C17" s="618">
        <f>RCL!E14*0.054</f>
        <v>2220974.34469723</v>
      </c>
      <c r="D17" s="619">
        <f>RCL!F14*0.054</f>
        <v>2314306.4198657814</v>
      </c>
    </row>
    <row r="20" spans="1:4" ht="12.75">
      <c r="A20" s="108"/>
      <c r="B20" s="111"/>
      <c r="C20" s="111"/>
      <c r="D20" s="111"/>
    </row>
    <row r="21" spans="1:4" ht="12.75">
      <c r="A21" s="111"/>
      <c r="B21" s="111"/>
      <c r="C21" s="111"/>
      <c r="D21" s="111"/>
    </row>
    <row r="22" spans="1:4" ht="12.75">
      <c r="A22" s="111"/>
      <c r="B22" s="111"/>
      <c r="C22" s="111"/>
      <c r="D22" s="111"/>
    </row>
    <row r="23" spans="1:4" ht="12.75">
      <c r="A23" s="111"/>
      <c r="B23" s="111"/>
      <c r="C23" s="111"/>
      <c r="D23" s="111"/>
    </row>
    <row r="24" spans="1:4" ht="12.75">
      <c r="A24" s="111"/>
      <c r="B24" s="111"/>
      <c r="C24" s="111"/>
      <c r="D24" s="111"/>
    </row>
    <row r="25" spans="1:4" ht="12.75">
      <c r="A25" s="111"/>
      <c r="B25" s="111"/>
      <c r="C25" s="111"/>
      <c r="D25" s="111"/>
    </row>
    <row r="26" spans="1:4" ht="12.75">
      <c r="A26" s="111"/>
      <c r="B26" s="111"/>
      <c r="C26" s="111"/>
      <c r="D26" s="111"/>
    </row>
    <row r="27" spans="1:4" ht="12.75">
      <c r="A27" s="111"/>
      <c r="B27" s="111"/>
      <c r="C27" s="111"/>
      <c r="D27" s="111"/>
    </row>
    <row r="28" spans="1:4" ht="12.75">
      <c r="A28" s="111"/>
      <c r="B28" s="111"/>
      <c r="C28" s="111"/>
      <c r="D28" s="111"/>
    </row>
    <row r="29" spans="1:4" ht="12.75">
      <c r="A29" s="111"/>
      <c r="B29" s="111"/>
      <c r="C29" s="111"/>
      <c r="D29" s="111"/>
    </row>
    <row r="30" spans="1:4" ht="12.75">
      <c r="A30" s="111"/>
      <c r="B30" s="111"/>
      <c r="C30" s="111"/>
      <c r="D30" s="111"/>
    </row>
    <row r="31" spans="1:4" ht="12.75">
      <c r="A31" s="111"/>
      <c r="B31" s="111"/>
      <c r="C31" s="111"/>
      <c r="D31" s="111"/>
    </row>
    <row r="32" spans="1:4" ht="12.75">
      <c r="A32" s="111"/>
      <c r="B32" s="111"/>
      <c r="C32" s="111"/>
      <c r="D32" s="111"/>
    </row>
    <row r="33" spans="1:4" ht="12.75">
      <c r="A33" s="111"/>
      <c r="B33" s="111"/>
      <c r="C33" s="111"/>
      <c r="D33" s="111"/>
    </row>
    <row r="34" spans="1:4" ht="12.75">
      <c r="A34" s="111"/>
      <c r="B34" s="111"/>
      <c r="C34" s="111"/>
      <c r="D34" s="111"/>
    </row>
    <row r="35" spans="1:4" ht="0.75" customHeight="1">
      <c r="A35" s="111"/>
      <c r="B35" s="111"/>
      <c r="C35" s="111"/>
      <c r="D35" s="111"/>
    </row>
    <row r="36" spans="1:4" ht="12.75" customHeight="1" hidden="1">
      <c r="A36" s="111"/>
      <c r="B36" s="111"/>
      <c r="C36" s="111"/>
      <c r="D36" s="111"/>
    </row>
    <row r="37" spans="1:4" ht="12.75" customHeight="1" hidden="1">
      <c r="A37" s="111"/>
      <c r="B37" s="111"/>
      <c r="C37" s="111"/>
      <c r="D37" s="111"/>
    </row>
    <row r="38" spans="1:4" ht="12.75" customHeight="1" hidden="1">
      <c r="A38" s="111"/>
      <c r="B38" s="111"/>
      <c r="C38" s="111"/>
      <c r="D38" s="111"/>
    </row>
    <row r="39" spans="1:4" ht="12.75" customHeight="1" hidden="1">
      <c r="A39" s="111"/>
      <c r="B39" s="111"/>
      <c r="C39" s="111"/>
      <c r="D39" s="111"/>
    </row>
    <row r="40" spans="1:4" ht="12.75" customHeight="1" hidden="1">
      <c r="A40" s="111"/>
      <c r="B40" s="111"/>
      <c r="C40" s="111"/>
      <c r="D40" s="111"/>
    </row>
    <row r="41" spans="1:4" ht="12.75" customHeight="1" hidden="1">
      <c r="A41" s="111"/>
      <c r="B41" s="111"/>
      <c r="C41" s="111"/>
      <c r="D41" s="111"/>
    </row>
    <row r="42" spans="1:4" ht="12.75" customHeight="1" hidden="1">
      <c r="A42" s="111"/>
      <c r="B42" s="111"/>
      <c r="C42" s="111"/>
      <c r="D42" s="111"/>
    </row>
  </sheetData>
  <sheetProtection/>
  <mergeCells count="8">
    <mergeCell ref="A13:A14"/>
    <mergeCell ref="B13:D13"/>
    <mergeCell ref="A1:D1"/>
    <mergeCell ref="A2:D2"/>
    <mergeCell ref="A3:D3"/>
    <mergeCell ref="A5:A6"/>
    <mergeCell ref="B5:D5"/>
    <mergeCell ref="A10:D10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J41"/>
  <sheetViews>
    <sheetView showGridLines="0" zoomScale="90" zoomScaleNormal="90" zoomScalePageLayoutView="0" workbookViewId="0" topLeftCell="A1">
      <selection activeCell="A3" sqref="A3:J3"/>
    </sheetView>
  </sheetViews>
  <sheetFormatPr defaultColWidth="32.00390625" defaultRowHeight="12.75"/>
  <cols>
    <col min="1" max="1" width="42.140625" style="33" customWidth="1"/>
    <col min="2" max="2" width="16.8515625" style="34" customWidth="1"/>
    <col min="3" max="3" width="16.57421875" style="40" customWidth="1"/>
    <col min="4" max="4" width="16.7109375" style="33" customWidth="1"/>
    <col min="5" max="5" width="16.28125" style="33" customWidth="1"/>
    <col min="6" max="6" width="16.140625" style="33" customWidth="1"/>
    <col min="7" max="7" width="17.00390625" style="33" customWidth="1"/>
    <col min="8" max="18" width="13.7109375" style="33" customWidth="1"/>
    <col min="19" max="16384" width="32.00390625" style="33" customWidth="1"/>
  </cols>
  <sheetData>
    <row r="1" spans="1:10" ht="54.75" customHeight="1">
      <c r="A1" s="349" t="s">
        <v>566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ht="12">
      <c r="A2" s="352" t="s">
        <v>565</v>
      </c>
      <c r="B2" s="353"/>
      <c r="C2" s="353"/>
      <c r="D2" s="353"/>
      <c r="E2" s="353"/>
      <c r="F2" s="353"/>
      <c r="G2" s="353"/>
      <c r="H2" s="353"/>
      <c r="I2" s="353"/>
      <c r="J2" s="354"/>
    </row>
    <row r="3" spans="1:10" ht="12">
      <c r="A3" s="352" t="s">
        <v>564</v>
      </c>
      <c r="B3" s="353"/>
      <c r="C3" s="353"/>
      <c r="D3" s="353"/>
      <c r="E3" s="353"/>
      <c r="F3" s="353"/>
      <c r="G3" s="353"/>
      <c r="H3" s="353"/>
      <c r="I3" s="353"/>
      <c r="J3" s="354"/>
    </row>
    <row r="4" spans="1:3" ht="12">
      <c r="A4" s="35"/>
      <c r="C4" s="32"/>
    </row>
    <row r="5" spans="1:7" ht="15">
      <c r="A5" s="348" t="s">
        <v>150</v>
      </c>
      <c r="B5" s="170">
        <v>2015</v>
      </c>
      <c r="C5" s="170">
        <f>B5+1</f>
        <v>2016</v>
      </c>
      <c r="D5" s="170">
        <f>C5+1</f>
        <v>2017</v>
      </c>
      <c r="E5" s="170">
        <f>D5+1</f>
        <v>2018</v>
      </c>
      <c r="F5" s="170">
        <f>E5+1</f>
        <v>2019</v>
      </c>
      <c r="G5" s="170">
        <f>F5+1</f>
        <v>2020</v>
      </c>
    </row>
    <row r="6" spans="1:7" ht="12.75" customHeight="1">
      <c r="A6" s="348"/>
      <c r="B6" s="170" t="s">
        <v>132</v>
      </c>
      <c r="C6" s="171" t="s">
        <v>132</v>
      </c>
      <c r="D6" s="171" t="s">
        <v>133</v>
      </c>
      <c r="E6" s="171" t="s">
        <v>11</v>
      </c>
      <c r="F6" s="171" t="s">
        <v>11</v>
      </c>
      <c r="G6" s="171" t="s">
        <v>11</v>
      </c>
    </row>
    <row r="7" spans="1:7" ht="22.5" customHeight="1">
      <c r="A7" s="172" t="s">
        <v>533</v>
      </c>
      <c r="B7" s="67">
        <v>1113939.95</v>
      </c>
      <c r="C7" s="67">
        <v>3300000</v>
      </c>
      <c r="D7" s="67">
        <v>2400000</v>
      </c>
      <c r="E7" s="173">
        <f>(D7*(1+Parâmetros!E21)+E17-E18-E19)</f>
        <v>1471096.443068984</v>
      </c>
      <c r="F7" s="173">
        <f>(E7*(1+Parâmetros!F21)+F17-F18-F19)</f>
        <v>363496.0901464686</v>
      </c>
      <c r="G7" s="173">
        <f>(F7*(1+Parâmetros!G21)+G17-G18-G19)</f>
        <v>-952477.7682645307</v>
      </c>
    </row>
    <row r="8" spans="1:7" ht="14.25">
      <c r="A8" s="174" t="s">
        <v>165</v>
      </c>
      <c r="B8" s="67">
        <v>1111467.67</v>
      </c>
      <c r="C8" s="67">
        <v>1200000</v>
      </c>
      <c r="D8" s="67">
        <v>1200000</v>
      </c>
      <c r="E8" s="175">
        <f>(B8+C8+D8)/3</f>
        <v>1170489.2233333334</v>
      </c>
      <c r="F8" s="175">
        <f>(C8+D8+E8)/3</f>
        <v>1190163.0744444446</v>
      </c>
      <c r="G8" s="175">
        <f>(D8+E8+F8)/3</f>
        <v>1186884.0992592594</v>
      </c>
    </row>
    <row r="9" spans="1:7" ht="22.5" customHeight="1">
      <c r="A9" s="172" t="s">
        <v>166</v>
      </c>
      <c r="B9" s="175">
        <v>2472.28</v>
      </c>
      <c r="C9" s="175">
        <v>2100000</v>
      </c>
      <c r="D9" s="175">
        <v>1200000</v>
      </c>
      <c r="E9" s="175">
        <f>IF(E7-E8&lt;0,0,E7-E8)</f>
        <v>300607.2197356506</v>
      </c>
      <c r="F9" s="175">
        <f>IF(F7-F8&lt;0,0,F7-F8)</f>
        <v>0</v>
      </c>
      <c r="G9" s="175">
        <f>IF(G7-G8&lt;0,0,G7-G8)</f>
        <v>0</v>
      </c>
    </row>
    <row r="10" spans="1:7" ht="22.5" customHeight="1">
      <c r="A10" s="172" t="s">
        <v>167</v>
      </c>
      <c r="B10" s="67"/>
      <c r="C10" s="67"/>
      <c r="D10" s="67"/>
      <c r="E10" s="213">
        <f>((B10/B7)+(C10/C7)+(D10/D7))/3*E7</f>
        <v>0</v>
      </c>
      <c r="F10" s="175">
        <f>((C10/C7)+(D10/D7)+(E10/E7))/3*F7</f>
        <v>0</v>
      </c>
      <c r="G10" s="175">
        <f>((D10/D7)+(E10/E7)+(F10/F7))/3*G7</f>
        <v>0</v>
      </c>
    </row>
    <row r="11" spans="1:7" ht="22.5" customHeight="1">
      <c r="A11" s="172" t="s">
        <v>168</v>
      </c>
      <c r="B11" s="175">
        <f aca="true" t="shared" si="0" ref="B11:G11">IF(B9-B10&lt;0,0,B9-B10)</f>
        <v>2472.28</v>
      </c>
      <c r="C11" s="175">
        <f t="shared" si="0"/>
        <v>2100000</v>
      </c>
      <c r="D11" s="175">
        <f t="shared" si="0"/>
        <v>1200000</v>
      </c>
      <c r="E11" s="175">
        <f t="shared" si="0"/>
        <v>300607.2197356506</v>
      </c>
      <c r="F11" s="175">
        <f t="shared" si="0"/>
        <v>0</v>
      </c>
      <c r="G11" s="175">
        <f t="shared" si="0"/>
        <v>0</v>
      </c>
    </row>
    <row r="12" spans="1:7" s="36" customFormat="1" ht="21.75" customHeight="1">
      <c r="A12" s="172" t="s">
        <v>169</v>
      </c>
      <c r="B12" s="212"/>
      <c r="C12" s="175">
        <f>C11-B11</f>
        <v>2097527.72</v>
      </c>
      <c r="D12" s="175">
        <f>D11-C11</f>
        <v>-900000</v>
      </c>
      <c r="E12" s="213">
        <f>E11-D11</f>
        <v>-899392.7802643494</v>
      </c>
      <c r="F12" s="175">
        <f>F11-E11</f>
        <v>-300607.2197356506</v>
      </c>
      <c r="G12" s="175">
        <f>G11-F11</f>
        <v>0</v>
      </c>
    </row>
    <row r="13" spans="1:7" s="37" customFormat="1" ht="15">
      <c r="A13" s="51"/>
      <c r="B13" s="52"/>
      <c r="C13" s="52"/>
      <c r="D13" s="52"/>
      <c r="E13" s="52"/>
      <c r="F13" s="52"/>
      <c r="G13" s="52"/>
    </row>
    <row r="14" spans="1:7" ht="15">
      <c r="A14" s="53" t="s">
        <v>176</v>
      </c>
      <c r="B14" s="68"/>
      <c r="C14" s="54"/>
      <c r="D14" s="54"/>
      <c r="E14" s="54"/>
      <c r="F14" s="54"/>
      <c r="G14" s="55" t="s">
        <v>5</v>
      </c>
    </row>
    <row r="15" spans="1:7" ht="15">
      <c r="A15" s="620" t="s">
        <v>163</v>
      </c>
      <c r="B15" s="621">
        <v>2015</v>
      </c>
      <c r="C15" s="621">
        <f>B15+1</f>
        <v>2016</v>
      </c>
      <c r="D15" s="621">
        <f>C15+1</f>
        <v>2017</v>
      </c>
      <c r="E15" s="621">
        <f>D15+1</f>
        <v>2018</v>
      </c>
      <c r="F15" s="621">
        <f>E15+1</f>
        <v>2019</v>
      </c>
      <c r="G15" s="621">
        <f>F15+1</f>
        <v>2020</v>
      </c>
    </row>
    <row r="16" spans="1:7" ht="15">
      <c r="A16" s="620"/>
      <c r="B16" s="621" t="s">
        <v>10</v>
      </c>
      <c r="C16" s="622" t="s">
        <v>10</v>
      </c>
      <c r="D16" s="622" t="s">
        <v>133</v>
      </c>
      <c r="E16" s="622" t="s">
        <v>11</v>
      </c>
      <c r="F16" s="622" t="s">
        <v>11</v>
      </c>
      <c r="G16" s="622" t="s">
        <v>11</v>
      </c>
    </row>
    <row r="17" spans="1:7" s="38" customFormat="1" ht="15">
      <c r="A17" s="623" t="s">
        <v>38</v>
      </c>
      <c r="B17" s="624">
        <f>Projeções!D74</f>
        <v>544567.85</v>
      </c>
      <c r="C17" s="624">
        <f>Projeções!E74</f>
        <v>254528.07</v>
      </c>
      <c r="D17" s="624">
        <f>Projeções!F74</f>
        <v>100000</v>
      </c>
      <c r="E17" s="67">
        <v>150000</v>
      </c>
      <c r="F17" s="67">
        <v>100000</v>
      </c>
      <c r="G17" s="67">
        <v>50000</v>
      </c>
    </row>
    <row r="18" spans="1:7" ht="15">
      <c r="A18" s="625" t="s">
        <v>534</v>
      </c>
      <c r="B18" s="626">
        <f>Projeções!D112+Projeções!D113</f>
        <v>229947.34</v>
      </c>
      <c r="C18" s="626">
        <f>Projeções!E112+Projeções!E113</f>
        <v>188424.72</v>
      </c>
      <c r="D18" s="626">
        <f>Projeções!F112+Projeções!F113</f>
        <v>230000</v>
      </c>
      <c r="E18" s="626">
        <f>Projeções!G112+Projeções!G113</f>
        <v>260222.2122631139</v>
      </c>
      <c r="F18" s="626">
        <f>Projeções!H112+Projeções!H113</f>
        <v>281820.65588095237</v>
      </c>
      <c r="G18" s="626">
        <f>Projeções!I112+Projeções!I113</f>
        <v>305268.13445024757</v>
      </c>
    </row>
    <row r="19" spans="1:7" ht="15">
      <c r="A19" s="625" t="s">
        <v>535</v>
      </c>
      <c r="B19" s="626">
        <f>Projeções!D129+Projeções!D130</f>
        <v>860705.74</v>
      </c>
      <c r="C19" s="626">
        <f>Projeções!E129+Projeções!E130</f>
        <v>764074.09</v>
      </c>
      <c r="D19" s="626">
        <f>Projeções!F129+Projeções!F130</f>
        <v>975000</v>
      </c>
      <c r="E19" s="626">
        <f>Projeções!G129+Projeções!G130</f>
        <v>1005161.3446679028</v>
      </c>
      <c r="F19" s="626">
        <f>Projeções!H129+Projeções!H130</f>
        <v>1047880.7018162886</v>
      </c>
      <c r="G19" s="626">
        <f>Projeções!I129+Projeções!I130</f>
        <v>1090948.598660938</v>
      </c>
    </row>
    <row r="20" spans="1:7" ht="15.75" customHeight="1" hidden="1">
      <c r="A20" s="72" t="s">
        <v>35</v>
      </c>
      <c r="B20" s="69"/>
      <c r="C20" s="69"/>
      <c r="D20" s="69"/>
      <c r="E20" s="69"/>
      <c r="F20" s="69"/>
      <c r="G20" s="69"/>
    </row>
    <row r="21" spans="1:7" ht="12.75">
      <c r="A21" s="345" t="s">
        <v>228</v>
      </c>
      <c r="B21" s="346"/>
      <c r="C21" s="346"/>
      <c r="D21" s="346"/>
      <c r="E21" s="346"/>
      <c r="F21" s="346"/>
      <c r="G21" s="347"/>
    </row>
    <row r="22" spans="1:3" ht="12">
      <c r="A22" s="35"/>
      <c r="C22" s="32"/>
    </row>
    <row r="23" spans="1:3" ht="12">
      <c r="A23" s="35"/>
      <c r="C23" s="32"/>
    </row>
    <row r="24" spans="1:3" ht="12">
      <c r="A24" s="35"/>
      <c r="C24" s="32"/>
    </row>
    <row r="25" spans="1:3" ht="12">
      <c r="A25" s="35"/>
      <c r="C25" s="32"/>
    </row>
    <row r="26" spans="1:3" ht="12">
      <c r="A26" s="35"/>
      <c r="C26" s="32"/>
    </row>
    <row r="27" spans="1:3" ht="12">
      <c r="A27" s="35"/>
      <c r="C27" s="32"/>
    </row>
    <row r="28" ht="12">
      <c r="A28" s="39"/>
    </row>
    <row r="29" ht="12">
      <c r="A29" s="39"/>
    </row>
    <row r="30" ht="12">
      <c r="A30" s="39"/>
    </row>
    <row r="31" ht="12">
      <c r="A31" s="39"/>
    </row>
    <row r="32" ht="12">
      <c r="A32" s="39"/>
    </row>
    <row r="33" ht="12">
      <c r="A33" s="39"/>
    </row>
    <row r="34" ht="12">
      <c r="A34" s="39"/>
    </row>
    <row r="35" ht="12">
      <c r="A35" s="39"/>
    </row>
    <row r="36" ht="12">
      <c r="A36" s="39"/>
    </row>
    <row r="37" ht="12">
      <c r="A37" s="39"/>
    </row>
    <row r="38" ht="12">
      <c r="A38" s="39"/>
    </row>
    <row r="39" ht="12">
      <c r="A39" s="39"/>
    </row>
    <row r="40" ht="12">
      <c r="A40" s="39"/>
    </row>
    <row r="41" ht="12">
      <c r="A41" s="39"/>
    </row>
  </sheetData>
  <sheetProtection/>
  <mergeCells count="6">
    <mergeCell ref="A21:G21"/>
    <mergeCell ref="A15:A16"/>
    <mergeCell ref="A1:J1"/>
    <mergeCell ref="A2:J2"/>
    <mergeCell ref="A3:J3"/>
    <mergeCell ref="A5:A6"/>
  </mergeCells>
  <printOptions/>
  <pageMargins left="0.787401575" right="0.787401575" top="0.984251969" bottom="0.984251969" header="0.492125985" footer="0.492125985"/>
  <pageSetup horizontalDpi="200" verticalDpi="2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M22"/>
  <sheetViews>
    <sheetView view="pageBreakPreview" zoomScaleNormal="80" zoomScaleSheetLayoutView="100" workbookViewId="0" topLeftCell="A4">
      <selection activeCell="A6" sqref="A6:M21"/>
    </sheetView>
  </sheetViews>
  <sheetFormatPr defaultColWidth="9.140625" defaultRowHeight="12.75"/>
  <cols>
    <col min="1" max="1" width="30.7109375" style="103" customWidth="1"/>
    <col min="2" max="2" width="16.00390625" style="103" customWidth="1"/>
    <col min="3" max="3" width="14.7109375" style="103" customWidth="1"/>
    <col min="4" max="4" width="8.421875" style="103" customWidth="1"/>
    <col min="5" max="5" width="10.140625" style="103" customWidth="1"/>
    <col min="6" max="6" width="15.421875" style="103" customWidth="1"/>
    <col min="7" max="7" width="14.00390625" style="103" customWidth="1"/>
    <col min="8" max="8" width="8.8515625" style="103" customWidth="1"/>
    <col min="9" max="9" width="9.00390625" style="103" customWidth="1"/>
    <col min="10" max="10" width="14.57421875" style="103" customWidth="1"/>
    <col min="11" max="11" width="14.8515625" style="103" customWidth="1"/>
    <col min="12" max="12" width="7.7109375" style="103" customWidth="1"/>
    <col min="13" max="13" width="9.00390625" style="103" customWidth="1"/>
    <col min="14" max="16384" width="9.140625" style="103" customWidth="1"/>
  </cols>
  <sheetData>
    <row r="1" spans="1:13" ht="41.25" customHeight="1">
      <c r="A1" s="325" t="str">
        <f>Parâmetros!A7</f>
        <v>Município de Balneário Pinhal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3"/>
    </row>
    <row r="2" spans="1:13" s="12" customFormat="1" ht="12.75">
      <c r="A2" s="369" t="s">
        <v>36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</row>
    <row r="3" spans="1:13" ht="12.75">
      <c r="A3" s="369" t="s">
        <v>539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1"/>
    </row>
    <row r="4" spans="1:13" ht="12.75">
      <c r="A4" s="374" t="s">
        <v>568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s="12" customFormat="1" ht="17.25" customHeight="1">
      <c r="A5" s="369" t="s">
        <v>439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1"/>
    </row>
    <row r="6" spans="1:13" ht="12.75">
      <c r="A6" s="380" t="s">
        <v>551</v>
      </c>
      <c r="B6" s="381"/>
      <c r="C6" s="381"/>
      <c r="D6" s="382"/>
      <c r="E6" s="209"/>
      <c r="F6" s="356"/>
      <c r="G6" s="356"/>
      <c r="H6" s="356"/>
      <c r="I6" s="209"/>
      <c r="J6" s="357">
        <v>1</v>
      </c>
      <c r="K6" s="358"/>
      <c r="L6" s="358"/>
      <c r="M6" s="358"/>
    </row>
    <row r="7" spans="1:13" s="13" customFormat="1" ht="12.75">
      <c r="A7" s="359" t="s">
        <v>59</v>
      </c>
      <c r="B7" s="360">
        <v>2018</v>
      </c>
      <c r="C7" s="361"/>
      <c r="D7" s="361"/>
      <c r="E7" s="362"/>
      <c r="F7" s="377">
        <f>B7+1</f>
        <v>2019</v>
      </c>
      <c r="G7" s="378"/>
      <c r="H7" s="378"/>
      <c r="I7" s="379"/>
      <c r="J7" s="359">
        <f>F7+1</f>
        <v>2020</v>
      </c>
      <c r="K7" s="359"/>
      <c r="L7" s="359"/>
      <c r="M7" s="359"/>
    </row>
    <row r="8" spans="1:13" ht="15.75" customHeight="1">
      <c r="A8" s="359"/>
      <c r="B8" s="363" t="s">
        <v>418</v>
      </c>
      <c r="C8" s="366" t="s">
        <v>553</v>
      </c>
      <c r="D8" s="210" t="s">
        <v>61</v>
      </c>
      <c r="E8" s="210" t="s">
        <v>419</v>
      </c>
      <c r="F8" s="363" t="s">
        <v>554</v>
      </c>
      <c r="G8" s="366" t="s">
        <v>555</v>
      </c>
      <c r="H8" s="210" t="s">
        <v>61</v>
      </c>
      <c r="I8" s="210" t="s">
        <v>419</v>
      </c>
      <c r="J8" s="363" t="s">
        <v>556</v>
      </c>
      <c r="K8" s="363" t="s">
        <v>555</v>
      </c>
      <c r="L8" s="179" t="s">
        <v>61</v>
      </c>
      <c r="M8" s="210" t="s">
        <v>419</v>
      </c>
    </row>
    <row r="9" spans="1:13" s="12" customFormat="1" ht="15.75" customHeight="1">
      <c r="A9" s="359"/>
      <c r="B9" s="364"/>
      <c r="C9" s="367"/>
      <c r="D9" s="210" t="s">
        <v>64</v>
      </c>
      <c r="E9" s="210" t="s">
        <v>420</v>
      </c>
      <c r="F9" s="364"/>
      <c r="G9" s="367"/>
      <c r="H9" s="210" t="s">
        <v>65</v>
      </c>
      <c r="I9" s="210" t="s">
        <v>440</v>
      </c>
      <c r="J9" s="364"/>
      <c r="K9" s="364"/>
      <c r="L9" s="179" t="s">
        <v>66</v>
      </c>
      <c r="M9" s="210" t="s">
        <v>441</v>
      </c>
    </row>
    <row r="10" spans="1:13" s="12" customFormat="1" ht="15.75" customHeight="1">
      <c r="A10" s="359"/>
      <c r="B10" s="365"/>
      <c r="C10" s="368"/>
      <c r="D10" s="210" t="s">
        <v>68</v>
      </c>
      <c r="E10" s="210" t="s">
        <v>68</v>
      </c>
      <c r="F10" s="365"/>
      <c r="G10" s="368"/>
      <c r="H10" s="210" t="s">
        <v>68</v>
      </c>
      <c r="I10" s="210" t="s">
        <v>68</v>
      </c>
      <c r="J10" s="365"/>
      <c r="K10" s="365"/>
      <c r="L10" s="179" t="s">
        <v>68</v>
      </c>
      <c r="M10" s="210" t="s">
        <v>68</v>
      </c>
    </row>
    <row r="11" spans="1:13" s="12" customFormat="1" ht="12.75">
      <c r="A11" s="206" t="s">
        <v>71</v>
      </c>
      <c r="B11" s="211">
        <f>Projeções!G98</f>
        <v>44849000.00235084</v>
      </c>
      <c r="C11" s="211">
        <f>B11/(1+Parâmetros!E11)</f>
        <v>43041266.7968818</v>
      </c>
      <c r="D11" s="207">
        <f>B11/(Parâmetros!E22)/1000000</f>
        <v>9.450708766776349E-05</v>
      </c>
      <c r="E11" s="208">
        <f>B11/RCL!D14</f>
        <v>1.1369403269640233</v>
      </c>
      <c r="F11" s="211">
        <f>Projeções!H98</f>
        <v>46749278.06246067</v>
      </c>
      <c r="G11" s="211">
        <f>F11/((1+Parâmetros!E11)*(1+Parâmetros!F11))</f>
        <v>43035923.4109471</v>
      </c>
      <c r="H11" s="207">
        <f>F11/(Parâmetros!F22)/1000000</f>
        <v>9.132769677263579E-05</v>
      </c>
      <c r="I11" s="208">
        <f>F11/RCL!E14</f>
        <v>1.1366457345174865</v>
      </c>
      <c r="J11" s="211">
        <f>Projeções!I98</f>
        <v>48678241.97847867</v>
      </c>
      <c r="K11" s="211">
        <f>J11/((1+Parâmetros!E11)*(1+Parâmetros!F11)*(1+Parâmetros!G11))</f>
        <v>43042615.760482855</v>
      </c>
      <c r="L11" s="207">
        <f>I11/(Parâmetros!F22)/1000000</f>
        <v>2.2205099475809735E-12</v>
      </c>
      <c r="M11" s="208">
        <f>J11/RCL!F14</f>
        <v>1.1358154841873944</v>
      </c>
    </row>
    <row r="12" spans="1:13" s="12" customFormat="1" ht="12.75">
      <c r="A12" s="206" t="s">
        <v>126</v>
      </c>
      <c r="B12" s="211">
        <f>Projeções!G98-Projeções!G25-Projeções!G74-Projeções!G75-Projeções!G78</f>
        <v>42396132.75731285</v>
      </c>
      <c r="C12" s="211">
        <f>B12/(1+Parâmetros!E11)</f>
        <v>40687267.52141348</v>
      </c>
      <c r="D12" s="207">
        <f>B12/(Parâmetros!E22)/1000000</f>
        <v>8.933833608462808E-05</v>
      </c>
      <c r="E12" s="208">
        <f>B12/RCL!D14</f>
        <v>1.074759148176834</v>
      </c>
      <c r="F12" s="211">
        <f>Projeções!H98-Projeções!H25-Projeções!H74-Projeções!H75-Projeções!H78</f>
        <v>44190916.72935766</v>
      </c>
      <c r="G12" s="211">
        <f>F12/((1+Parâmetros!E11)*(1+Parâmetros!F11))</f>
        <v>40680775.974406034</v>
      </c>
      <c r="H12" s="207">
        <f>F12/(Parâmetros!F22)/1000000</f>
        <v>8.632977471376903E-05</v>
      </c>
      <c r="I12" s="208">
        <f>F12/RCL!E14</f>
        <v>1.0744426242846234</v>
      </c>
      <c r="J12" s="211">
        <f>Projeções!I98-Projeções!I25-Projeções!I74-Projeções!I75-Projeções!I78</f>
        <v>46010569.26031109</v>
      </c>
      <c r="K12" s="211">
        <f>J12/((1+Parâmetros!E11)*(1+Parâmetros!F11)*(1+Parâmetros!G11))</f>
        <v>40683787.52191222</v>
      </c>
      <c r="L12" s="207">
        <f>I12/(Parâmetros!F22)/1000000</f>
        <v>2.098992203882949E-12</v>
      </c>
      <c r="M12" s="208">
        <f>J12/RCL!F14</f>
        <v>1.0735703443284281</v>
      </c>
    </row>
    <row r="13" spans="1:13" s="12" customFormat="1" ht="12.75">
      <c r="A13" s="206" t="s">
        <v>72</v>
      </c>
      <c r="B13" s="211">
        <f>Projeções!G134</f>
        <v>44849000.00235084</v>
      </c>
      <c r="C13" s="211">
        <f>B13/(1+Parâmetros!E11)</f>
        <v>43041266.7968818</v>
      </c>
      <c r="D13" s="207">
        <f>B13/(Parâmetros!E22)/1000000</f>
        <v>9.450708766776349E-05</v>
      </c>
      <c r="E13" s="208">
        <f>B13/RCL!D14</f>
        <v>1.1369403269640233</v>
      </c>
      <c r="F13" s="211">
        <f>Projeções!H134</f>
        <v>46749278.06246066</v>
      </c>
      <c r="G13" s="211">
        <f>F13/((1+Parâmetros!E11)*(1+Parâmetros!F11))</f>
        <v>43035923.41094709</v>
      </c>
      <c r="H13" s="207">
        <f>F13/(Parâmetros!F22)/1000000</f>
        <v>9.132769677263578E-05</v>
      </c>
      <c r="I13" s="208">
        <f>F13/RCL!E14</f>
        <v>1.1366457345174863</v>
      </c>
      <c r="J13" s="211">
        <f>Projeções!I134</f>
        <v>48678241.97847867</v>
      </c>
      <c r="K13" s="211">
        <f>J13/((1+Parâmetros!E11)*(1+Parâmetros!F11)*(1+Parâmetros!G11))</f>
        <v>43042615.760482855</v>
      </c>
      <c r="L13" s="207">
        <f>I13/(Parâmetros!F22)/1000000</f>
        <v>2.220509947580973E-12</v>
      </c>
      <c r="M13" s="208">
        <f>J13/RCL!F14</f>
        <v>1.1358154841873944</v>
      </c>
    </row>
    <row r="14" spans="1:13" s="12" customFormat="1" ht="12.75">
      <c r="A14" s="206" t="s">
        <v>127</v>
      </c>
      <c r="B14" s="211">
        <f>Projeções!G134-Projeções!G111-Projeções!G125-Projeções!G128</f>
        <v>43583616.44541982</v>
      </c>
      <c r="C14" s="211">
        <f>B14/(1+Parâmetros!E11)</f>
        <v>41826887.18370424</v>
      </c>
      <c r="D14" s="207">
        <f>B14/(Parâmetros!E22)/1000000</f>
        <v>9.184063546722484E-05</v>
      </c>
      <c r="E14" s="208">
        <f>B14/RCL!D14</f>
        <v>1.1048623409470186</v>
      </c>
      <c r="F14" s="211">
        <f>Projeções!H134-Projeções!H111-Projeções!H125-Projeções!H128</f>
        <v>45419576.70476342</v>
      </c>
      <c r="G14" s="211">
        <f>F14/((1+Parâmetros!E11)*(1+Parâmetros!F11))</f>
        <v>41811841.924323194</v>
      </c>
      <c r="H14" s="207">
        <f>F14/(Parâmetros!F22)/1000000</f>
        <v>8.873004035039788E-05</v>
      </c>
      <c r="I14" s="208">
        <f>F14/RCL!E14</f>
        <v>1.1043158368367278</v>
      </c>
      <c r="J14" s="211">
        <f>Projeções!I134-Projeções!I111-Projeções!I125-Projeções!I128</f>
        <v>47282025.24536748</v>
      </c>
      <c r="K14" s="211">
        <f>J14/((1+Parâmetros!E11)*(1+Parâmetros!F11)*(1+Parâmetros!G11))</f>
        <v>41808043.23035263</v>
      </c>
      <c r="L14" s="207">
        <f>I14/(Parâmetros!F22)/1000000</f>
        <v>2.157351430178122E-12</v>
      </c>
      <c r="M14" s="208">
        <f>J14/RCL!F14</f>
        <v>1.1032373852196802</v>
      </c>
    </row>
    <row r="15" spans="1:13" s="12" customFormat="1" ht="12.75">
      <c r="A15" s="206" t="s">
        <v>73</v>
      </c>
      <c r="B15" s="211">
        <f>B12-B14</f>
        <v>-1187483.688106969</v>
      </c>
      <c r="C15" s="211">
        <f>B15/(1+Parâmetros!E11)</f>
        <v>-1139619.662290757</v>
      </c>
      <c r="D15" s="207">
        <f>B15/(Parâmetros!E22)/1000000</f>
        <v>-2.5022993825967566E-06</v>
      </c>
      <c r="E15" s="208">
        <f>B15/RCL!D14</f>
        <v>-0.03010319277018471</v>
      </c>
      <c r="F15" s="211">
        <f>F12-F14</f>
        <v>-1228659.97540576</v>
      </c>
      <c r="G15" s="211">
        <f>F15/((1+Parâmetros!E11)*(1+Parâmetros!F11))</f>
        <v>-1131065.949917158</v>
      </c>
      <c r="H15" s="207">
        <f>F15/(Parâmetros!F22)/1000000</f>
        <v>-2.4002656366288525E-06</v>
      </c>
      <c r="I15" s="208">
        <f>F15/RCL!E14</f>
        <v>-0.02987321255210436</v>
      </c>
      <c r="J15" s="211">
        <f>J12-J14</f>
        <v>-1271455.9850563928</v>
      </c>
      <c r="K15" s="211">
        <f>J15/((1+Parâmetros!E11)*(1+Parâmetros!F11)*(1+Parâmetros!G11))</f>
        <v>-1124255.7084404163</v>
      </c>
      <c r="L15" s="207">
        <f>I15/(Parâmetros!F22)/1000000</f>
        <v>-5.835922629517247E-14</v>
      </c>
      <c r="M15" s="208">
        <f>J15/RCL!F14</f>
        <v>-0.029667040891252022</v>
      </c>
    </row>
    <row r="16" spans="1:13" s="12" customFormat="1" ht="12.75">
      <c r="A16" s="206" t="s">
        <v>74</v>
      </c>
      <c r="B16" s="211">
        <f>Dívida!E12</f>
        <v>-899392.7802643494</v>
      </c>
      <c r="C16" s="211">
        <f>B16/(1+Parâmetros!E11)</f>
        <v>-863140.8639773027</v>
      </c>
      <c r="D16" s="207">
        <f>B16/(Parâmetros!E22)/1000000</f>
        <v>-1.895226032414124E-06</v>
      </c>
      <c r="E16" s="208">
        <f>B16/RCL!D14</f>
        <v>-0.022799971495668408</v>
      </c>
      <c r="F16" s="211">
        <f>Dívida!F12</f>
        <v>-300607.2197356506</v>
      </c>
      <c r="G16" s="211">
        <f>F16/((1+Parâmetros!E11)*(1+Parâmetros!F11))</f>
        <v>-276729.60570720444</v>
      </c>
      <c r="H16" s="207">
        <f>F16/(Parâmetros!F22)/1000000</f>
        <v>-5.872553791098599E-07</v>
      </c>
      <c r="I16" s="208">
        <f>F16/RCL!E14</f>
        <v>-0.0073088596923608475</v>
      </c>
      <c r="J16" s="211">
        <f>Dívida!G12</f>
        <v>0</v>
      </c>
      <c r="K16" s="211">
        <f>J16/((1+Parâmetros!E11)*(1+Parâmetros!F11)*(1+Parâmetros!G11))</f>
        <v>0</v>
      </c>
      <c r="L16" s="207">
        <f>I16/(Parâmetros!F22)/1000000</f>
        <v>-1.427832363198931E-14</v>
      </c>
      <c r="M16" s="208">
        <f>J16/RCL!F14</f>
        <v>0</v>
      </c>
    </row>
    <row r="17" spans="1:13" s="12" customFormat="1" ht="12.75">
      <c r="A17" s="206" t="s">
        <v>75</v>
      </c>
      <c r="B17" s="211">
        <f>Dívida!E7</f>
        <v>1471096.443068984</v>
      </c>
      <c r="C17" s="211">
        <f>B17/(1+Parâmetros!E11)</f>
        <v>1411800.8090873165</v>
      </c>
      <c r="D17" s="207">
        <f>B17/(Parâmetros!E22)/1000000</f>
        <v>3.0999362417348894E-06</v>
      </c>
      <c r="E17" s="208">
        <f>B17/RCL!D14</f>
        <v>0.03729289105422179</v>
      </c>
      <c r="F17" s="211">
        <f>Dívida!F7</f>
        <v>363496.0901464686</v>
      </c>
      <c r="G17" s="211">
        <f>F17/((1+Parâmetros!E11)*(1+Parâmetros!F11))</f>
        <v>334623.13310638425</v>
      </c>
      <c r="H17" s="207">
        <f>F17/(Parâmetros!F22)/1000000</f>
        <v>7.101127990592977E-07</v>
      </c>
      <c r="I17" s="208">
        <f>F17/RCL!E14</f>
        <v>0.008837917878148728</v>
      </c>
      <c r="J17" s="211">
        <f>Dívida!G7</f>
        <v>-952477.7682645307</v>
      </c>
      <c r="K17" s="211">
        <f>J17/((1+Parâmetros!E11)*(1+Parâmetros!F11)*(1+Parâmetros!G11))</f>
        <v>-842206.5574582136</v>
      </c>
      <c r="L17" s="207">
        <f>I17/(Parâmetros!F22)/1000000</f>
        <v>1.7265436334623455E-14</v>
      </c>
      <c r="M17" s="208">
        <f>J17/RCL!F14</f>
        <v>-0.022224282422060412</v>
      </c>
    </row>
    <row r="18" spans="1:13" s="12" customFormat="1" ht="12.75">
      <c r="A18" s="206" t="s">
        <v>76</v>
      </c>
      <c r="B18" s="211">
        <f>Dívida!E9</f>
        <v>300607.2197356506</v>
      </c>
      <c r="C18" s="211">
        <f>B18/(1+Parâmetros!E11)</f>
        <v>288490.6139497606</v>
      </c>
      <c r="D18" s="207">
        <f>B18/(Parâmetros!E22)/1000000</f>
        <v>6.334480783881611E-07</v>
      </c>
      <c r="E18" s="208">
        <f>B18/RCL!D14</f>
        <v>0.007620514853755535</v>
      </c>
      <c r="F18" s="211">
        <f>Dívida!F9</f>
        <v>0</v>
      </c>
      <c r="G18" s="211">
        <f>F18/((1+Parâmetros!E11)*(1+Parâmetros!F11))</f>
        <v>0</v>
      </c>
      <c r="H18" s="207">
        <f>F18/(Parâmetros!F22)/1000000</f>
        <v>0</v>
      </c>
      <c r="I18" s="208">
        <f>F18/RCL!E14</f>
        <v>0</v>
      </c>
      <c r="J18" s="211">
        <f>Dívida!G9</f>
        <v>0</v>
      </c>
      <c r="K18" s="211">
        <f>J18/((1+Parâmetros!E11)*(1+Parâmetros!F11)*(1+Parâmetros!G11))</f>
        <v>0</v>
      </c>
      <c r="L18" s="207">
        <f>I18/(Parâmetros!F22)/1000000</f>
        <v>0</v>
      </c>
      <c r="M18" s="208">
        <f>J18/RCL!F14</f>
        <v>0</v>
      </c>
    </row>
    <row r="19" spans="1:13" s="12" customFormat="1" ht="25.5">
      <c r="A19" s="206" t="s">
        <v>225</v>
      </c>
      <c r="B19" s="211">
        <v>0</v>
      </c>
      <c r="C19" s="211">
        <f>B19/(1+Parâmetros!E11)</f>
        <v>0</v>
      </c>
      <c r="D19" s="207">
        <v>0</v>
      </c>
      <c r="E19" s="208">
        <f>B19/RCL!D14</f>
        <v>0</v>
      </c>
      <c r="F19" s="211">
        <v>0</v>
      </c>
      <c r="G19" s="211">
        <f>F19/((1+Parâmetros!E11)*(1+Parâmetros!F11))</f>
        <v>0</v>
      </c>
      <c r="H19" s="207">
        <v>0</v>
      </c>
      <c r="I19" s="208">
        <f>F19/RCL!E14</f>
        <v>0</v>
      </c>
      <c r="J19" s="211">
        <v>0</v>
      </c>
      <c r="K19" s="211">
        <f>J19/((1+Parâmetros!E11)*(1+Parâmetros!F11)*(1+Parâmetros!G11))</f>
        <v>0</v>
      </c>
      <c r="L19" s="207">
        <v>0</v>
      </c>
      <c r="M19" s="208">
        <f>J19/RCL!F14</f>
        <v>0</v>
      </c>
    </row>
    <row r="20" spans="1:13" s="12" customFormat="1" ht="25.5">
      <c r="A20" s="206" t="s">
        <v>226</v>
      </c>
      <c r="B20" s="211">
        <v>0</v>
      </c>
      <c r="C20" s="211">
        <f>B20/(1+Parâmetros!E11)</f>
        <v>0</v>
      </c>
      <c r="D20" s="207">
        <v>0</v>
      </c>
      <c r="E20" s="208">
        <f>B20/RCL!D14</f>
        <v>0</v>
      </c>
      <c r="F20" s="211">
        <v>0</v>
      </c>
      <c r="G20" s="211">
        <f>F20/((1+Parâmetros!E11)*(1+Parâmetros!F11))</f>
        <v>0</v>
      </c>
      <c r="H20" s="207">
        <v>0</v>
      </c>
      <c r="I20" s="208">
        <f>F20/RCL!E14</f>
        <v>0</v>
      </c>
      <c r="J20" s="211">
        <v>0</v>
      </c>
      <c r="K20" s="211">
        <f>J20/((1+Parâmetros!E11)*(1+Parâmetros!F11)*(1+Parâmetros!G11))</f>
        <v>0</v>
      </c>
      <c r="L20" s="207">
        <v>0</v>
      </c>
      <c r="M20" s="208">
        <f>J20/RCL!F14</f>
        <v>0</v>
      </c>
    </row>
    <row r="21" spans="1:13" s="12" customFormat="1" ht="25.5">
      <c r="A21" s="206" t="s">
        <v>227</v>
      </c>
      <c r="B21" s="211">
        <v>0</v>
      </c>
      <c r="C21" s="211">
        <f>B21/(1+Parâmetros!E11)</f>
        <v>0</v>
      </c>
      <c r="D21" s="207">
        <v>0</v>
      </c>
      <c r="E21" s="208">
        <f>B21/RCL!D14</f>
        <v>0</v>
      </c>
      <c r="F21" s="211">
        <v>0</v>
      </c>
      <c r="G21" s="211">
        <f>F21/((1+Parâmetros!E11)*(1+Parâmetros!F11))</f>
        <v>0</v>
      </c>
      <c r="H21" s="207">
        <v>0</v>
      </c>
      <c r="I21" s="208">
        <f>F21/RCL!E14</f>
        <v>0</v>
      </c>
      <c r="J21" s="211">
        <v>0</v>
      </c>
      <c r="K21" s="211">
        <f>J21/((1+Parâmetros!E11)*(1+Parâmetros!F11)*(1+Parâmetros!G11))</f>
        <v>0</v>
      </c>
      <c r="L21" s="207">
        <v>0</v>
      </c>
      <c r="M21" s="208">
        <f>J21/RCL!F14</f>
        <v>0</v>
      </c>
    </row>
    <row r="22" spans="1:13" ht="12.75">
      <c r="A22" s="355" t="s">
        <v>552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</row>
    <row r="23" s="104" customFormat="1" ht="15" customHeight="1"/>
  </sheetData>
  <sheetProtection/>
  <mergeCells count="19">
    <mergeCell ref="K8:K10"/>
    <mergeCell ref="J7:M7"/>
    <mergeCell ref="A5:M5"/>
    <mergeCell ref="A1:M1"/>
    <mergeCell ref="A2:M2"/>
    <mergeCell ref="A3:M3"/>
    <mergeCell ref="A4:M4"/>
    <mergeCell ref="F7:I7"/>
    <mergeCell ref="A6:D6"/>
    <mergeCell ref="A22:M22"/>
    <mergeCell ref="F6:H6"/>
    <mergeCell ref="J6:M6"/>
    <mergeCell ref="A7:A10"/>
    <mergeCell ref="B7:E7"/>
    <mergeCell ref="B8:B10"/>
    <mergeCell ref="C8:C10"/>
    <mergeCell ref="F8:F10"/>
    <mergeCell ref="G8:G10"/>
    <mergeCell ref="J8:J10"/>
  </mergeCells>
  <printOptions/>
  <pageMargins left="0.787401575" right="0.787401575" top="0.984251969" bottom="0.984251969" header="0.492125985" footer="0.492125985"/>
  <pageSetup horizontalDpi="300" verticalDpi="300" orientation="landscape" paperSize="9" scale="42" r:id="rId2"/>
  <rowBreaks count="1" manualBreakCount="1">
    <brk id="8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SheetLayoutView="90" zoomScalePageLayoutView="0" workbookViewId="0" topLeftCell="A1">
      <selection activeCell="A7" sqref="A7:J16"/>
    </sheetView>
  </sheetViews>
  <sheetFormatPr defaultColWidth="9.140625" defaultRowHeight="12.75"/>
  <cols>
    <col min="1" max="1" width="30.00390625" style="14" customWidth="1"/>
    <col min="2" max="3" width="14.421875" style="14" bestFit="1" customWidth="1"/>
    <col min="4" max="4" width="12.140625" style="14" customWidth="1"/>
    <col min="5" max="6" width="14.421875" style="14" bestFit="1" customWidth="1"/>
    <col min="7" max="7" width="10.7109375" style="14" customWidth="1"/>
    <col min="8" max="9" width="13.8515625" style="14" bestFit="1" customWidth="1"/>
    <col min="10" max="10" width="10.140625" style="14" customWidth="1"/>
    <col min="11" max="16384" width="9.140625" style="14" customWidth="1"/>
  </cols>
  <sheetData>
    <row r="1" spans="1:10" ht="14.25">
      <c r="A1" s="386" t="str">
        <f>Parâmetros!A7</f>
        <v>Município de Balneário Pinhal</v>
      </c>
      <c r="B1" s="384"/>
      <c r="C1" s="384"/>
      <c r="D1" s="384"/>
      <c r="E1" s="384"/>
      <c r="F1" s="384"/>
      <c r="G1" s="384"/>
      <c r="H1" s="384"/>
      <c r="I1" s="384"/>
      <c r="J1" s="385"/>
    </row>
    <row r="2" spans="1:10" ht="14.25">
      <c r="A2" s="383" t="s">
        <v>36</v>
      </c>
      <c r="B2" s="384"/>
      <c r="C2" s="384"/>
      <c r="D2" s="384"/>
      <c r="E2" s="384"/>
      <c r="F2" s="384"/>
      <c r="G2" s="384"/>
      <c r="H2" s="384"/>
      <c r="I2" s="384"/>
      <c r="J2" s="385"/>
    </row>
    <row r="3" spans="1:10" ht="14.25">
      <c r="A3" s="383" t="str">
        <f>'Metas Cons'!A3:M3</f>
        <v>ANEXO DE METAS FISCAIS</v>
      </c>
      <c r="B3" s="384"/>
      <c r="C3" s="384"/>
      <c r="D3" s="384"/>
      <c r="E3" s="384"/>
      <c r="F3" s="384"/>
      <c r="G3" s="384"/>
      <c r="H3" s="384"/>
      <c r="I3" s="384"/>
      <c r="J3" s="385"/>
    </row>
    <row r="4" spans="1:10" ht="15">
      <c r="A4" s="387" t="s">
        <v>540</v>
      </c>
      <c r="B4" s="388"/>
      <c r="C4" s="388"/>
      <c r="D4" s="388"/>
      <c r="E4" s="388"/>
      <c r="F4" s="388"/>
      <c r="G4" s="388"/>
      <c r="H4" s="388"/>
      <c r="I4" s="388"/>
      <c r="J4" s="389"/>
    </row>
    <row r="5" spans="1:10" ht="17.25" customHeight="1">
      <c r="A5" s="383" t="s">
        <v>439</v>
      </c>
      <c r="B5" s="384"/>
      <c r="C5" s="384"/>
      <c r="D5" s="384"/>
      <c r="E5" s="384"/>
      <c r="F5" s="384"/>
      <c r="G5" s="384"/>
      <c r="H5" s="384"/>
      <c r="I5" s="384"/>
      <c r="J5" s="385"/>
    </row>
    <row r="6" spans="1:10" ht="21.75" customHeight="1" thickBot="1">
      <c r="A6" s="650"/>
      <c r="B6" s="651"/>
      <c r="C6" s="651"/>
      <c r="D6" s="651"/>
      <c r="E6" s="651"/>
      <c r="F6" s="651"/>
      <c r="G6" s="651"/>
      <c r="H6" s="651"/>
      <c r="I6" s="651"/>
      <c r="J6" s="652"/>
    </row>
    <row r="7" spans="1:10" ht="15">
      <c r="A7" s="654" t="s">
        <v>551</v>
      </c>
      <c r="B7" s="655"/>
      <c r="C7" s="655"/>
      <c r="D7" s="656"/>
      <c r="E7" s="657"/>
      <c r="F7" s="657"/>
      <c r="G7" s="657"/>
      <c r="H7" s="658">
        <v>1</v>
      </c>
      <c r="I7" s="659"/>
      <c r="J7" s="660"/>
    </row>
    <row r="8" spans="1:10" s="15" customFormat="1" ht="14.25">
      <c r="A8" s="661" t="s">
        <v>59</v>
      </c>
      <c r="B8" s="636">
        <v>2018</v>
      </c>
      <c r="C8" s="637"/>
      <c r="D8" s="638"/>
      <c r="E8" s="636">
        <f>B8+1</f>
        <v>2019</v>
      </c>
      <c r="F8" s="637"/>
      <c r="G8" s="638"/>
      <c r="H8" s="636">
        <f>E8+1</f>
        <v>2020</v>
      </c>
      <c r="I8" s="637"/>
      <c r="J8" s="662"/>
    </row>
    <row r="9" spans="1:10" ht="15.75" customHeight="1">
      <c r="A9" s="663"/>
      <c r="B9" s="639" t="s">
        <v>60</v>
      </c>
      <c r="C9" s="640" t="s">
        <v>60</v>
      </c>
      <c r="D9" s="640" t="s">
        <v>61</v>
      </c>
      <c r="E9" s="640" t="s">
        <v>60</v>
      </c>
      <c r="F9" s="640" t="s">
        <v>60</v>
      </c>
      <c r="G9" s="640" t="s">
        <v>61</v>
      </c>
      <c r="H9" s="640" t="s">
        <v>60</v>
      </c>
      <c r="I9" s="640" t="s">
        <v>60</v>
      </c>
      <c r="J9" s="664" t="s">
        <v>61</v>
      </c>
    </row>
    <row r="10" spans="1:10" ht="15.75" customHeight="1">
      <c r="A10" s="663"/>
      <c r="B10" s="641" t="s">
        <v>62</v>
      </c>
      <c r="C10" s="642" t="s">
        <v>63</v>
      </c>
      <c r="D10" s="642" t="s">
        <v>64</v>
      </c>
      <c r="E10" s="642" t="s">
        <v>62</v>
      </c>
      <c r="F10" s="642" t="s">
        <v>63</v>
      </c>
      <c r="G10" s="642" t="s">
        <v>65</v>
      </c>
      <c r="H10" s="642" t="s">
        <v>62</v>
      </c>
      <c r="I10" s="642" t="s">
        <v>63</v>
      </c>
      <c r="J10" s="665" t="s">
        <v>66</v>
      </c>
    </row>
    <row r="11" spans="1:10" ht="15.75" customHeight="1">
      <c r="A11" s="666"/>
      <c r="B11" s="644" t="s">
        <v>67</v>
      </c>
      <c r="C11" s="645"/>
      <c r="D11" s="646" t="s">
        <v>68</v>
      </c>
      <c r="E11" s="646" t="s">
        <v>69</v>
      </c>
      <c r="F11" s="645"/>
      <c r="G11" s="646" t="s">
        <v>68</v>
      </c>
      <c r="H11" s="646" t="s">
        <v>70</v>
      </c>
      <c r="I11" s="645"/>
      <c r="J11" s="667" t="s">
        <v>68</v>
      </c>
    </row>
    <row r="12" spans="1:10" ht="14.25">
      <c r="A12" s="668" t="s">
        <v>154</v>
      </c>
      <c r="B12" s="647">
        <f>Projeções!G17+Projeções!G28+Projeções!G69+Projeções!G88+Projeções!G90</f>
        <v>5255780.92</v>
      </c>
      <c r="C12" s="647">
        <f>B12/(1+Parâmetros!E11)</f>
        <v>5043935.623800384</v>
      </c>
      <c r="D12" s="648">
        <f>B12/(Parâmetros!E22)/1000000</f>
        <v>1.1075130953710513E-05</v>
      </c>
      <c r="E12" s="647">
        <f>Projeções!H17+Projeções!H28+Projeções!H69+Projeções!H88+Projeções!H90</f>
        <v>5467722.461030481</v>
      </c>
      <c r="F12" s="647">
        <f>E12/((1+Parâmetros!E11)*(1+Parâmetros!F11))</f>
        <v>5033414.307507221</v>
      </c>
      <c r="G12" s="648">
        <f>E12/(Parâmetros!F22)/1000000</f>
        <v>1.0681544606758318E-05</v>
      </c>
      <c r="H12" s="649">
        <f>Projeções!I17+Projeções!I28+Projeções!I69+Projeções!I88+Projeções!I90</f>
        <v>5661807.084667895</v>
      </c>
      <c r="I12" s="649">
        <f>H12/((1+Parâmetros!E11)*(1+Parâmetros!F11)*(1+Parâmetros!G11))</f>
        <v>5006322.680327743</v>
      </c>
      <c r="J12" s="669">
        <f>H12/(Parâmetros!G22)/1000000</f>
        <v>1.0238201047123903E-05</v>
      </c>
    </row>
    <row r="13" spans="1:10" ht="14.25">
      <c r="A13" s="668" t="s">
        <v>155</v>
      </c>
      <c r="B13" s="647">
        <f>B12-Projeções!G28</f>
        <v>3136856.9499999997</v>
      </c>
      <c r="C13" s="647">
        <f>B13/(1+Parâmetros!E11)</f>
        <v>3010419.3378119</v>
      </c>
      <c r="D13" s="648">
        <f>B13/(Parâmetros!E22)/1000000</f>
        <v>6.6100741322960145E-06</v>
      </c>
      <c r="E13" s="647">
        <f>E12-Projeções!H28</f>
        <v>3262406.5010304814</v>
      </c>
      <c r="F13" s="647">
        <f>E13/((1+Parâmetros!E11)*(1+Parâmetros!F11))</f>
        <v>3003269.4007838476</v>
      </c>
      <c r="G13" s="648">
        <f>E13/(Parâmetros!F22)/1000000</f>
        <v>6.373319204568372E-06</v>
      </c>
      <c r="H13" s="649">
        <f>H12-Projeções!I28</f>
        <v>3367051.574667895</v>
      </c>
      <c r="I13" s="649">
        <f>H13/((1+Parâmetros!E11)*(1+Parâmetros!F11)*(1+Parâmetros!G11))</f>
        <v>2977237.905145241</v>
      </c>
      <c r="J13" s="669">
        <f>H13/(Parâmetros!G22)/1000000</f>
        <v>6.088612777153125E-06</v>
      </c>
    </row>
    <row r="14" spans="1:10" ht="14.25">
      <c r="A14" s="668" t="s">
        <v>156</v>
      </c>
      <c r="B14" s="647">
        <f>Projeções!G110+Projeções!G114+Projeções!G118+Projeções!G123+Projeções!G131+Projeções!G133</f>
        <v>5255780.92</v>
      </c>
      <c r="C14" s="647">
        <f>B14/(1+Parâmetros!E11)</f>
        <v>5043935.623800384</v>
      </c>
      <c r="D14" s="648">
        <f>B14/(Parâmetros!E22)/1000000</f>
        <v>1.1075130953710513E-05</v>
      </c>
      <c r="E14" s="647">
        <f>Projeções!H110+Projeções!H114+Projeções!H118+Projeções!H123+Projeções!H131+Projeções!H133</f>
        <v>5467722.461030481</v>
      </c>
      <c r="F14" s="647">
        <f>E14/((1+Parâmetros!E11)*(1+Parâmetros!F11))</f>
        <v>5033414.307507221</v>
      </c>
      <c r="G14" s="648">
        <f>E14/(Parâmetros!F22)/1000000</f>
        <v>1.0681544606758318E-05</v>
      </c>
      <c r="H14" s="649">
        <f>Projeções!I110+Projeções!I114+Projeções!I118+Projeções!I123+Projeções!I131+Projeções!I133</f>
        <v>5661807.084667895</v>
      </c>
      <c r="I14" s="649">
        <f>H14/((1+Parâmetros!E11)*(1+Parâmetros!F11)*(1+Parâmetros!G11))</f>
        <v>5006322.680327743</v>
      </c>
      <c r="J14" s="669">
        <f>H14/(Parâmetros!G22)/1000000</f>
        <v>1.0238201047123903E-05</v>
      </c>
    </row>
    <row r="15" spans="1:10" ht="28.5">
      <c r="A15" s="668" t="s">
        <v>157</v>
      </c>
      <c r="B15" s="647">
        <f>B14-Projeções!G114-Projeções!G131</f>
        <v>5255780.92</v>
      </c>
      <c r="C15" s="647">
        <f>B15/(1+Parâmetros!E11)</f>
        <v>5043935.623800384</v>
      </c>
      <c r="D15" s="648">
        <f>B15/(Parâmetros!E22)/1000000</f>
        <v>1.1075130953710513E-05</v>
      </c>
      <c r="E15" s="647">
        <f>E14-Projeções!H114-Projeções!H131</f>
        <v>5467722.461030481</v>
      </c>
      <c r="F15" s="647">
        <f>E15/((1+Parâmetros!E11)*(1+Parâmetros!F11))</f>
        <v>5033414.307507221</v>
      </c>
      <c r="G15" s="648">
        <f>E15/(Parâmetros!F22)/1000000</f>
        <v>1.0681544606758318E-05</v>
      </c>
      <c r="H15" s="649">
        <f>H14-Projeções!I114-Projeções!I131</f>
        <v>5661807.084667895</v>
      </c>
      <c r="I15" s="649">
        <f>H15/((1+Parâmetros!E11)*(1+Parâmetros!F11)*(1+Parâmetros!G11))</f>
        <v>5006322.680327743</v>
      </c>
      <c r="J15" s="669">
        <f>H15/(Parâmetros!G22)/1000000</f>
        <v>1.0238201047123903E-05</v>
      </c>
    </row>
    <row r="16" spans="1:10" ht="29.25" thickBot="1">
      <c r="A16" s="670" t="s">
        <v>158</v>
      </c>
      <c r="B16" s="671">
        <f>B13-B15</f>
        <v>-2118923.97</v>
      </c>
      <c r="C16" s="671">
        <f>C13-C15</f>
        <v>-2033516.285988484</v>
      </c>
      <c r="D16" s="672">
        <f>B16/(Parâmetros!E22)/1000000</f>
        <v>-4.465056821414499E-06</v>
      </c>
      <c r="E16" s="671">
        <f>E13-E15</f>
        <v>-2205315.96</v>
      </c>
      <c r="F16" s="671">
        <f>F13-F15</f>
        <v>-2030144.906723373</v>
      </c>
      <c r="G16" s="672">
        <f>E16/(Parâmetros!F22)/1000000</f>
        <v>-4.308225402189945E-06</v>
      </c>
      <c r="H16" s="673">
        <f>H13-H15</f>
        <v>-2294755.51</v>
      </c>
      <c r="I16" s="673">
        <f>I13-I15</f>
        <v>-2029084.7751825023</v>
      </c>
      <c r="J16" s="674">
        <f>H16/(Parâmetros!G22)/1000000</f>
        <v>-4.149588269970777E-06</v>
      </c>
    </row>
    <row r="17" spans="1:10" ht="14.25">
      <c r="A17" s="653" t="s">
        <v>228</v>
      </c>
      <c r="B17" s="653"/>
      <c r="C17" s="653"/>
      <c r="D17" s="653"/>
      <c r="E17" s="653"/>
      <c r="F17" s="653"/>
      <c r="G17" s="653"/>
      <c r="H17" s="653"/>
      <c r="I17" s="653"/>
      <c r="J17" s="653"/>
    </row>
    <row r="18" s="110" customFormat="1" ht="15" customHeight="1"/>
  </sheetData>
  <sheetProtection/>
  <mergeCells count="13">
    <mergeCell ref="A17:J17"/>
    <mergeCell ref="A8:A11"/>
    <mergeCell ref="B8:D8"/>
    <mergeCell ref="E8:G8"/>
    <mergeCell ref="H8:J8"/>
    <mergeCell ref="A7:D7"/>
    <mergeCell ref="A5:J5"/>
    <mergeCell ref="A1:J1"/>
    <mergeCell ref="A2:J2"/>
    <mergeCell ref="A3:J3"/>
    <mergeCell ref="A4:J4"/>
    <mergeCell ref="E7:G7"/>
    <mergeCell ref="H7:J7"/>
  </mergeCells>
  <printOptions/>
  <pageMargins left="0.787401575" right="0.787401575" top="0.984251969" bottom="0.984251969" header="0.492125985" footer="0.492125985"/>
  <pageSetup horizontalDpi="300" verticalDpi="300" orientation="landscape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SheetLayoutView="100" zoomScalePageLayoutView="0" workbookViewId="0" topLeftCell="A1">
      <selection activeCell="A7" sqref="A7:J16"/>
    </sheetView>
  </sheetViews>
  <sheetFormatPr defaultColWidth="9.140625" defaultRowHeight="12.75"/>
  <cols>
    <col min="1" max="1" width="29.140625" style="0" customWidth="1"/>
    <col min="2" max="2" width="20.421875" style="0" customWidth="1"/>
    <col min="3" max="3" width="18.8515625" style="0" customWidth="1"/>
    <col min="4" max="4" width="12.140625" style="0" customWidth="1"/>
    <col min="5" max="5" width="16.7109375" style="0" customWidth="1"/>
    <col min="6" max="6" width="17.28125" style="0" customWidth="1"/>
    <col min="7" max="7" width="10.7109375" style="0" customWidth="1"/>
    <col min="8" max="8" width="17.7109375" style="0" customWidth="1"/>
    <col min="9" max="9" width="17.57421875" style="0" customWidth="1"/>
    <col min="10" max="10" width="11.140625" style="0" customWidth="1"/>
  </cols>
  <sheetData>
    <row r="1" spans="1:10" ht="12.75">
      <c r="A1" s="393" t="str">
        <f>Parâmetros!A7</f>
        <v>Município de Balneário Pinhal</v>
      </c>
      <c r="B1" s="391"/>
      <c r="C1" s="391"/>
      <c r="D1" s="391"/>
      <c r="E1" s="391"/>
      <c r="F1" s="391"/>
      <c r="G1" s="391"/>
      <c r="H1" s="391"/>
      <c r="I1" s="391"/>
      <c r="J1" s="392"/>
    </row>
    <row r="2" spans="1:10" ht="12.75">
      <c r="A2" s="390" t="s">
        <v>36</v>
      </c>
      <c r="B2" s="391"/>
      <c r="C2" s="391"/>
      <c r="D2" s="391"/>
      <c r="E2" s="391"/>
      <c r="F2" s="391"/>
      <c r="G2" s="391"/>
      <c r="H2" s="391"/>
      <c r="I2" s="391"/>
      <c r="J2" s="392"/>
    </row>
    <row r="3" spans="1:10" ht="12.75">
      <c r="A3" s="390" t="str">
        <f>'Metas Cons'!A3:M3</f>
        <v>ANEXO DE METAS FISCAIS</v>
      </c>
      <c r="B3" s="391"/>
      <c r="C3" s="391"/>
      <c r="D3" s="391"/>
      <c r="E3" s="391"/>
      <c r="F3" s="391"/>
      <c r="G3" s="391"/>
      <c r="H3" s="391"/>
      <c r="I3" s="391"/>
      <c r="J3" s="392"/>
    </row>
    <row r="4" spans="1:10" ht="12.75">
      <c r="A4" s="394" t="s">
        <v>159</v>
      </c>
      <c r="B4" s="395"/>
      <c r="C4" s="395"/>
      <c r="D4" s="395"/>
      <c r="E4" s="395"/>
      <c r="F4" s="395"/>
      <c r="G4" s="395"/>
      <c r="H4" s="395"/>
      <c r="I4" s="395"/>
      <c r="J4" s="396"/>
    </row>
    <row r="5" spans="1:10" ht="17.25" customHeight="1">
      <c r="A5" s="390" t="s">
        <v>439</v>
      </c>
      <c r="B5" s="391"/>
      <c r="C5" s="391"/>
      <c r="D5" s="391"/>
      <c r="E5" s="391"/>
      <c r="F5" s="391"/>
      <c r="G5" s="391"/>
      <c r="H5" s="391"/>
      <c r="I5" s="391"/>
      <c r="J5" s="392"/>
    </row>
    <row r="6" spans="1:10" ht="21.75" customHeight="1" thickBot="1">
      <c r="A6" s="684"/>
      <c r="B6" s="685"/>
      <c r="C6" s="685"/>
      <c r="D6" s="685"/>
      <c r="E6" s="685"/>
      <c r="F6" s="685"/>
      <c r="G6" s="685"/>
      <c r="H6" s="685"/>
      <c r="I6" s="685"/>
      <c r="J6" s="686"/>
    </row>
    <row r="7" spans="1:10" ht="12.75">
      <c r="A7" s="688" t="s">
        <v>550</v>
      </c>
      <c r="B7" s="689"/>
      <c r="C7" s="689"/>
      <c r="D7" s="690"/>
      <c r="E7" s="691"/>
      <c r="F7" s="691"/>
      <c r="G7" s="691"/>
      <c r="H7" s="692">
        <v>1</v>
      </c>
      <c r="I7" s="693"/>
      <c r="J7" s="694"/>
    </row>
    <row r="8" spans="1:10" s="11" customFormat="1" ht="12.75">
      <c r="A8" s="695" t="s">
        <v>59</v>
      </c>
      <c r="B8" s="627">
        <v>2018</v>
      </c>
      <c r="C8" s="628"/>
      <c r="D8" s="629"/>
      <c r="E8" s="627">
        <f>B8+1</f>
        <v>2019</v>
      </c>
      <c r="F8" s="628"/>
      <c r="G8" s="629"/>
      <c r="H8" s="627">
        <f>E8+1</f>
        <v>2020</v>
      </c>
      <c r="I8" s="628"/>
      <c r="J8" s="696"/>
    </row>
    <row r="9" spans="1:10" ht="15.75" customHeight="1">
      <c r="A9" s="697"/>
      <c r="B9" s="675" t="s">
        <v>60</v>
      </c>
      <c r="C9" s="676" t="s">
        <v>60</v>
      </c>
      <c r="D9" s="676" t="s">
        <v>61</v>
      </c>
      <c r="E9" s="676" t="s">
        <v>60</v>
      </c>
      <c r="F9" s="676" t="s">
        <v>60</v>
      </c>
      <c r="G9" s="676" t="s">
        <v>61</v>
      </c>
      <c r="H9" s="676" t="s">
        <v>60</v>
      </c>
      <c r="I9" s="676" t="s">
        <v>60</v>
      </c>
      <c r="J9" s="698" t="s">
        <v>61</v>
      </c>
    </row>
    <row r="10" spans="1:10" ht="15.75" customHeight="1">
      <c r="A10" s="697"/>
      <c r="B10" s="677" t="s">
        <v>62</v>
      </c>
      <c r="C10" s="678" t="s">
        <v>63</v>
      </c>
      <c r="D10" s="678" t="s">
        <v>64</v>
      </c>
      <c r="E10" s="678" t="s">
        <v>62</v>
      </c>
      <c r="F10" s="678" t="s">
        <v>63</v>
      </c>
      <c r="G10" s="678" t="s">
        <v>65</v>
      </c>
      <c r="H10" s="678" t="s">
        <v>62</v>
      </c>
      <c r="I10" s="678" t="s">
        <v>63</v>
      </c>
      <c r="J10" s="699" t="s">
        <v>66</v>
      </c>
    </row>
    <row r="11" spans="1:10" ht="15.75" customHeight="1">
      <c r="A11" s="700"/>
      <c r="B11" s="679" t="s">
        <v>67</v>
      </c>
      <c r="C11" s="680"/>
      <c r="D11" s="681" t="s">
        <v>68</v>
      </c>
      <c r="E11" s="681" t="s">
        <v>69</v>
      </c>
      <c r="F11" s="680"/>
      <c r="G11" s="681" t="s">
        <v>68</v>
      </c>
      <c r="H11" s="681" t="s">
        <v>70</v>
      </c>
      <c r="I11" s="680"/>
      <c r="J11" s="701" t="s">
        <v>68</v>
      </c>
    </row>
    <row r="12" spans="1:10" ht="12.75">
      <c r="A12" s="702" t="s">
        <v>160</v>
      </c>
      <c r="B12" s="682">
        <f>'Metas Cons'!B11-MetasRPPS!B12</f>
        <v>39593219.082350835</v>
      </c>
      <c r="C12" s="682">
        <f>B12/(1+Parâmetros!E11)</f>
        <v>37997331.17308141</v>
      </c>
      <c r="D12" s="683">
        <f>B12/(Parâmetros!E22)/1000000</f>
        <v>8.343195671405297E-05</v>
      </c>
      <c r="E12" s="682">
        <f>'Metas Cons'!F11-MetasRPPS!E12</f>
        <v>41281555.601430185</v>
      </c>
      <c r="F12" s="682">
        <f>E12/((1+Parâmetros!E11)*(1+Parâmetros!F11))</f>
        <v>38002509.103439875</v>
      </c>
      <c r="G12" s="683">
        <f>E12/(Parâmetros!F22)/1000000</f>
        <v>8.064615216587747E-05</v>
      </c>
      <c r="H12" s="682">
        <f>'Metas Cons'!J11-MetasRPPS!H12</f>
        <v>43016434.89381078</v>
      </c>
      <c r="I12" s="682">
        <f>H12/((1+Parâmetros!E11)*(1+Parâmetros!F11)*(1+Parâmetros!G11))</f>
        <v>38036293.08015511</v>
      </c>
      <c r="J12" s="703">
        <f>H12/(Parâmetros!G22)/1000000</f>
        <v>7.77862795724669E-05</v>
      </c>
    </row>
    <row r="13" spans="1:10" ht="12.75">
      <c r="A13" s="702" t="s">
        <v>126</v>
      </c>
      <c r="B13" s="682">
        <f>'Metas Cons'!B12-MetasRPPS!B13</f>
        <v>39259275.807312846</v>
      </c>
      <c r="C13" s="682">
        <f>B13/(1+Parâmetros!E11)</f>
        <v>37676848.18360158</v>
      </c>
      <c r="D13" s="683">
        <f>B13/(Parâmetros!E22)/1000000</f>
        <v>8.272826195233206E-05</v>
      </c>
      <c r="E13" s="682">
        <f>'Metas Cons'!F12-MetasRPPS!E13</f>
        <v>40928510.22832718</v>
      </c>
      <c r="F13" s="682">
        <f>E13/((1+Parâmetros!E11)*(1+Parâmetros!F11))</f>
        <v>37677506.57362219</v>
      </c>
      <c r="G13" s="683">
        <f>E13/(Parâmetros!F22)/1000000</f>
        <v>7.995645550920065E-05</v>
      </c>
      <c r="H13" s="682">
        <f>'Metas Cons'!J12-MetasRPPS!H13</f>
        <v>42643517.685643196</v>
      </c>
      <c r="I13" s="682">
        <f>H13/((1+Parâmetros!E11)*(1+Parâmetros!F11)*(1+Parâmetros!G11))</f>
        <v>37706549.61676698</v>
      </c>
      <c r="J13" s="703">
        <f>H13/(Parâmetros!G22)/1000000</f>
        <v>7.711193632938981E-05</v>
      </c>
    </row>
    <row r="14" spans="1:10" ht="12.75">
      <c r="A14" s="702" t="s">
        <v>161</v>
      </c>
      <c r="B14" s="682">
        <f>'Metas Cons'!B13-MetasRPPS!B14</f>
        <v>39593219.082350835</v>
      </c>
      <c r="C14" s="682">
        <f>B14/(1+Parâmetros!E11)</f>
        <v>37997331.17308141</v>
      </c>
      <c r="D14" s="683">
        <f>B14/(Parâmetros!E22)/1000000</f>
        <v>8.343195671405297E-05</v>
      </c>
      <c r="E14" s="682">
        <f>'Metas Cons'!F13-MetasRPPS!E14</f>
        <v>41281555.60143018</v>
      </c>
      <c r="F14" s="682">
        <f>E14/((1+Parâmetros!E11)*(1+Parâmetros!F11))</f>
        <v>38002509.10343987</v>
      </c>
      <c r="G14" s="683">
        <f>E14/(Parâmetros!F22)/1000000</f>
        <v>8.064615216587746E-05</v>
      </c>
      <c r="H14" s="682">
        <f>'Metas Cons'!J13-MetasRPPS!H14</f>
        <v>43016434.89381078</v>
      </c>
      <c r="I14" s="682">
        <f>H14/((1+Parâmetros!E11)*(1+Parâmetros!F11)*(1+Parâmetros!G11))</f>
        <v>38036293.08015511</v>
      </c>
      <c r="J14" s="703">
        <f>H14/(Parâmetros!G22)/1000000</f>
        <v>7.77862795724669E-05</v>
      </c>
    </row>
    <row r="15" spans="1:10" ht="12.75">
      <c r="A15" s="702" t="s">
        <v>162</v>
      </c>
      <c r="B15" s="682">
        <f>'Metas Cons'!B14-MetasRPPS!B15</f>
        <v>38327835.52541982</v>
      </c>
      <c r="C15" s="682">
        <f>B15/(1+Parâmetros!E11)</f>
        <v>36782951.55990385</v>
      </c>
      <c r="D15" s="683">
        <f>B15/(Parâmetros!E22)/1000000</f>
        <v>8.076550451351432E-05</v>
      </c>
      <c r="E15" s="682">
        <f>'Metas Cons'!F14-MetasRPPS!E15</f>
        <v>39951854.24373294</v>
      </c>
      <c r="F15" s="682">
        <f>E15/((1+Parâmetros!E11)*(1+Parâmetros!F11))</f>
        <v>36778427.61681597</v>
      </c>
      <c r="G15" s="683">
        <f>E15/(Parâmetros!F22)/1000000</f>
        <v>7.804849574363956E-05</v>
      </c>
      <c r="H15" s="682">
        <f>'Metas Cons'!J14-MetasRPPS!H15</f>
        <v>41620218.16069959</v>
      </c>
      <c r="I15" s="682">
        <f>H15/((1+Parâmetros!E11)*(1+Parâmetros!F11)*(1+Parâmetros!G11))</f>
        <v>36801720.5500249</v>
      </c>
      <c r="J15" s="703">
        <f>H15/(Parâmetros!G22)/1000000</f>
        <v>7.526151187812761E-05</v>
      </c>
    </row>
    <row r="16" spans="1:10" ht="13.5" thickBot="1">
      <c r="A16" s="704" t="s">
        <v>73</v>
      </c>
      <c r="B16" s="705">
        <f>B13-B15</f>
        <v>931440.2818930298</v>
      </c>
      <c r="C16" s="705">
        <f>C13-C15</f>
        <v>893896.6236977279</v>
      </c>
      <c r="D16" s="706">
        <f>B16/(Parâmetros!E22)/1000000</f>
        <v>1.9627574388177392E-06</v>
      </c>
      <c r="E16" s="705">
        <f>E13-E15</f>
        <v>976655.9845942408</v>
      </c>
      <c r="F16" s="705">
        <f>F13-F15</f>
        <v>899078.9568062201</v>
      </c>
      <c r="G16" s="706">
        <f>E16/(Parâmetros!F22)/1000000</f>
        <v>1.9079597655610944E-06</v>
      </c>
      <c r="H16" s="705">
        <f>H13-H15</f>
        <v>1023299.5249436051</v>
      </c>
      <c r="I16" s="705">
        <f>I13-I15</f>
        <v>904829.0667420849</v>
      </c>
      <c r="J16" s="707">
        <f>H16/(Parâmetros!G22)/1000000</f>
        <v>1.8504244512621971E-06</v>
      </c>
    </row>
    <row r="17" spans="1:10" ht="12.75">
      <c r="A17" s="687" t="s">
        <v>228</v>
      </c>
      <c r="B17" s="687"/>
      <c r="C17" s="687"/>
      <c r="D17" s="687"/>
      <c r="E17" s="687"/>
      <c r="F17" s="687"/>
      <c r="G17" s="687"/>
      <c r="H17" s="687"/>
      <c r="I17" s="687"/>
      <c r="J17" s="687"/>
    </row>
    <row r="18" s="31" customFormat="1" ht="15" customHeight="1"/>
  </sheetData>
  <sheetProtection/>
  <mergeCells count="13">
    <mergeCell ref="A17:J17"/>
    <mergeCell ref="A8:A11"/>
    <mergeCell ref="B8:D8"/>
    <mergeCell ref="E8:G8"/>
    <mergeCell ref="H8:J8"/>
    <mergeCell ref="A7:D7"/>
    <mergeCell ref="A5:J5"/>
    <mergeCell ref="A1:J1"/>
    <mergeCell ref="A2:J2"/>
    <mergeCell ref="A3:J3"/>
    <mergeCell ref="A4:J4"/>
    <mergeCell ref="E7:G7"/>
    <mergeCell ref="H7:J7"/>
  </mergeCells>
  <printOptions/>
  <pageMargins left="0.787401575" right="0.787401575" top="0.984251969" bottom="0.984251969" header="0.492125985" footer="0.492125985"/>
  <pageSetup horizontalDpi="300" verticalDpi="3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2"/>
  <dimension ref="A1:I19"/>
  <sheetViews>
    <sheetView zoomScale="90" zoomScaleNormal="90" zoomScaleSheetLayoutView="100" zoomScalePageLayoutView="0" workbookViewId="0" topLeftCell="A10">
      <selection activeCell="A7" sqref="A7:I18"/>
    </sheetView>
  </sheetViews>
  <sheetFormatPr defaultColWidth="9.140625" defaultRowHeight="12.75"/>
  <cols>
    <col min="1" max="1" width="32.28125" style="12" customWidth="1"/>
    <col min="2" max="2" width="17.28125" style="12" customWidth="1"/>
    <col min="3" max="3" width="9.7109375" style="12" customWidth="1"/>
    <col min="4" max="4" width="10.57421875" style="12" customWidth="1"/>
    <col min="5" max="5" width="17.28125" style="12" customWidth="1"/>
    <col min="6" max="6" width="9.7109375" style="12" customWidth="1"/>
    <col min="7" max="7" width="10.57421875" style="12" customWidth="1"/>
    <col min="8" max="8" width="16.8515625" style="12" customWidth="1"/>
    <col min="9" max="9" width="10.140625" style="12" customWidth="1"/>
    <col min="10" max="16384" width="9.140625" style="12" customWidth="1"/>
  </cols>
  <sheetData>
    <row r="1" spans="1:9" ht="45.75" customHeight="1">
      <c r="A1" s="397" t="s">
        <v>563</v>
      </c>
      <c r="B1" s="398"/>
      <c r="C1" s="398"/>
      <c r="D1" s="398"/>
      <c r="E1" s="398"/>
      <c r="F1" s="398"/>
      <c r="G1" s="398"/>
      <c r="H1" s="398"/>
      <c r="I1" s="399"/>
    </row>
    <row r="2" spans="1:9" ht="12.75">
      <c r="A2" s="369" t="s">
        <v>36</v>
      </c>
      <c r="B2" s="370"/>
      <c r="C2" s="370"/>
      <c r="D2" s="370"/>
      <c r="E2" s="370"/>
      <c r="F2" s="370"/>
      <c r="G2" s="370"/>
      <c r="H2" s="370"/>
      <c r="I2" s="371"/>
    </row>
    <row r="3" spans="1:9" ht="12.75">
      <c r="A3" s="369" t="str">
        <f>'Metas Cons'!A3:M3</f>
        <v>ANEXO DE METAS FISCAIS</v>
      </c>
      <c r="B3" s="370"/>
      <c r="C3" s="370"/>
      <c r="D3" s="370"/>
      <c r="E3" s="370"/>
      <c r="F3" s="370"/>
      <c r="G3" s="370"/>
      <c r="H3" s="370"/>
      <c r="I3" s="371"/>
    </row>
    <row r="4" spans="1:9" ht="12.75">
      <c r="A4" s="374" t="s">
        <v>569</v>
      </c>
      <c r="B4" s="375"/>
      <c r="C4" s="375"/>
      <c r="D4" s="375"/>
      <c r="E4" s="375"/>
      <c r="F4" s="375"/>
      <c r="G4" s="375"/>
      <c r="H4" s="375"/>
      <c r="I4" s="376"/>
    </row>
    <row r="5" spans="1:9" ht="12.75">
      <c r="A5" s="369" t="s">
        <v>439</v>
      </c>
      <c r="B5" s="370"/>
      <c r="C5" s="370"/>
      <c r="D5" s="370"/>
      <c r="E5" s="370"/>
      <c r="F5" s="370"/>
      <c r="G5" s="370"/>
      <c r="H5" s="370"/>
      <c r="I5" s="371"/>
    </row>
    <row r="6" spans="1:9" ht="12.75">
      <c r="A6" s="369"/>
      <c r="B6" s="370"/>
      <c r="C6" s="370"/>
      <c r="D6" s="370"/>
      <c r="E6" s="370"/>
      <c r="F6" s="370"/>
      <c r="G6" s="370"/>
      <c r="H6" s="370"/>
      <c r="I6" s="371"/>
    </row>
    <row r="7" spans="1:9" ht="12.75" customHeight="1" thickBot="1">
      <c r="A7" s="715" t="s">
        <v>549</v>
      </c>
      <c r="B7" s="716"/>
      <c r="C7" s="717"/>
      <c r="D7" s="717"/>
      <c r="E7" s="717"/>
      <c r="F7" s="717"/>
      <c r="G7" s="717"/>
      <c r="H7" s="718">
        <v>1</v>
      </c>
      <c r="I7" s="719"/>
    </row>
    <row r="8" spans="1:9" ht="10.5" customHeight="1">
      <c r="A8" s="708" t="s">
        <v>59</v>
      </c>
      <c r="B8" s="709" t="s">
        <v>121</v>
      </c>
      <c r="C8" s="709" t="s">
        <v>61</v>
      </c>
      <c r="D8" s="709" t="s">
        <v>419</v>
      </c>
      <c r="E8" s="709" t="s">
        <v>122</v>
      </c>
      <c r="F8" s="709" t="s">
        <v>61</v>
      </c>
      <c r="G8" s="709" t="s">
        <v>419</v>
      </c>
      <c r="H8" s="710" t="s">
        <v>77</v>
      </c>
      <c r="I8" s="711"/>
    </row>
    <row r="9" spans="1:9" ht="12.75" customHeight="1">
      <c r="A9" s="697"/>
      <c r="B9" s="632"/>
      <c r="C9" s="632"/>
      <c r="D9" s="632"/>
      <c r="E9" s="632"/>
      <c r="F9" s="632"/>
      <c r="G9" s="632"/>
      <c r="H9" s="712"/>
      <c r="I9" s="713"/>
    </row>
    <row r="10" spans="1:9" ht="22.5" customHeight="1">
      <c r="A10" s="700"/>
      <c r="B10" s="720" t="s">
        <v>442</v>
      </c>
      <c r="C10" s="634"/>
      <c r="D10" s="634"/>
      <c r="E10" s="721" t="s">
        <v>531</v>
      </c>
      <c r="F10" s="634"/>
      <c r="G10" s="634"/>
      <c r="H10" s="722" t="s">
        <v>123</v>
      </c>
      <c r="I10" s="714" t="s">
        <v>78</v>
      </c>
    </row>
    <row r="11" spans="1:9" ht="12.75">
      <c r="A11" s="723" t="s">
        <v>39</v>
      </c>
      <c r="B11" s="724">
        <v>42428600</v>
      </c>
      <c r="C11" s="725">
        <f>B11/(Parâmetros!C22)/1000000</f>
        <v>0.00011152243796146132</v>
      </c>
      <c r="D11" s="726">
        <f>B11/RCL!B14</f>
        <v>1.10953181538919</v>
      </c>
      <c r="E11" s="724">
        <f>Projeções!E98</f>
        <v>43232018.474000014</v>
      </c>
      <c r="F11" s="725">
        <f>E11/(Parâmetros!C22)/1000000</f>
        <v>0.0001136342018877695</v>
      </c>
      <c r="G11" s="726">
        <f>E11/RCL!B14</f>
        <v>1.1305416615301054</v>
      </c>
      <c r="H11" s="724">
        <f aca="true" t="shared" si="0" ref="H11:H18">E11-B11</f>
        <v>803418.4740000144</v>
      </c>
      <c r="I11" s="727">
        <f aca="true" t="shared" si="1" ref="I11:I18">IF(B11=0,"-",(H11/B11))</f>
        <v>0.018935776198130846</v>
      </c>
    </row>
    <row r="12" spans="1:9" ht="12.75">
      <c r="A12" s="723" t="s">
        <v>129</v>
      </c>
      <c r="B12" s="724">
        <v>38753613.6</v>
      </c>
      <c r="C12" s="725">
        <f>B12/(Parâmetros!C22)/1000000</f>
        <v>0.00010186283470320595</v>
      </c>
      <c r="D12" s="726">
        <f>B12/RCL!B14</f>
        <v>1.0134288487128778</v>
      </c>
      <c r="E12" s="724">
        <f>E11-Projeções!E25-Projeções!E74-Projeções!E75-Projeções!E78</f>
        <v>40629133.21400002</v>
      </c>
      <c r="F12" s="725">
        <f>E12/(Parâmetros!C22)/1000000</f>
        <v>0.00010679258774237813</v>
      </c>
      <c r="G12" s="726">
        <f>E12/RCL!B14</f>
        <v>1.062474744220141</v>
      </c>
      <c r="H12" s="724">
        <f t="shared" si="0"/>
        <v>1875519.614000015</v>
      </c>
      <c r="I12" s="727">
        <f t="shared" si="1"/>
        <v>0.04839599303844055</v>
      </c>
    </row>
    <row r="13" spans="1:9" ht="12.75">
      <c r="A13" s="723" t="s">
        <v>40</v>
      </c>
      <c r="B13" s="724">
        <v>43302213.6</v>
      </c>
      <c r="C13" s="725">
        <f>B13/(Parâmetros!C22)/1000000</f>
        <v>0.00011381870789514495</v>
      </c>
      <c r="D13" s="726">
        <f>B13/RCL!B14</f>
        <v>1.132377303657874</v>
      </c>
      <c r="E13" s="724">
        <f>Projeções!E134</f>
        <v>40078931.169999994</v>
      </c>
      <c r="F13" s="725">
        <f>E13/(Parâmetros!C22)/1000000</f>
        <v>0.00010534639641581393</v>
      </c>
      <c r="G13" s="726">
        <f>E13/RCL!B14</f>
        <v>1.048086650511883</v>
      </c>
      <c r="H13" s="724">
        <f t="shared" si="0"/>
        <v>-3223282.430000007</v>
      </c>
      <c r="I13" s="727">
        <f t="shared" si="1"/>
        <v>-0.07443689737838269</v>
      </c>
    </row>
    <row r="14" spans="1:9" ht="12.75">
      <c r="A14" s="723" t="s">
        <v>130</v>
      </c>
      <c r="B14" s="724">
        <v>36782213.6</v>
      </c>
      <c r="C14" s="725">
        <f>B14/(Parâmetros!C22)/1000000</f>
        <v>9.66810626391448E-05</v>
      </c>
      <c r="D14" s="726">
        <f>B14/RCL!B14</f>
        <v>0.9618756270449874</v>
      </c>
      <c r="E14" s="724">
        <f>E13-Projeções!E111-Projeções!E128-Projeções!E125</f>
        <v>39126432.35999999</v>
      </c>
      <c r="F14" s="725">
        <f>E14/(Parâmetros!C22)/1000000</f>
        <v>0.00010284277882186573</v>
      </c>
      <c r="G14" s="726">
        <f>E14/RCL!B14</f>
        <v>1.0231782695185119</v>
      </c>
      <c r="H14" s="724">
        <f t="shared" si="0"/>
        <v>2344218.7599999905</v>
      </c>
      <c r="I14" s="727">
        <f t="shared" si="1"/>
        <v>0.06373240027076539</v>
      </c>
    </row>
    <row r="15" spans="1:9" ht="25.5">
      <c r="A15" s="723" t="s">
        <v>79</v>
      </c>
      <c r="B15" s="724">
        <f>B12-B14</f>
        <v>1971400</v>
      </c>
      <c r="C15" s="725">
        <f>B15/(Parâmetros!C22)/1000000</f>
        <v>5.1817720640611486E-06</v>
      </c>
      <c r="D15" s="726">
        <f>B15/RCL!B14</f>
        <v>0.05155322166789027</v>
      </c>
      <c r="E15" s="724">
        <f>E12-E14</f>
        <v>1502700.8540000245</v>
      </c>
      <c r="F15" s="725">
        <f>E15/(Parâmetros!C22)/1000000</f>
        <v>3.949808920512407E-06</v>
      </c>
      <c r="G15" s="726">
        <f>E15/RCL!B14</f>
        <v>0.039296474701628926</v>
      </c>
      <c r="H15" s="724">
        <f t="shared" si="0"/>
        <v>-468699.1459999755</v>
      </c>
      <c r="I15" s="727">
        <f t="shared" si="1"/>
        <v>-0.2377493892664987</v>
      </c>
    </row>
    <row r="16" spans="1:9" ht="15" customHeight="1">
      <c r="A16" s="723" t="s">
        <v>37</v>
      </c>
      <c r="B16" s="724">
        <v>1483015.86</v>
      </c>
      <c r="C16" s="725">
        <f>B16/(Parâmetros!C22)/1000000</f>
        <v>3.8980674413653346E-06</v>
      </c>
      <c r="D16" s="726">
        <f>B16/RCL!B14</f>
        <v>0.038781701008205806</v>
      </c>
      <c r="E16" s="724">
        <f>Dívida!C12</f>
        <v>2097527.72</v>
      </c>
      <c r="F16" s="725">
        <f>E16/(Parâmetros!C22)/1000000</f>
        <v>5.513295395703499E-06</v>
      </c>
      <c r="G16" s="726">
        <f>E16/RCL!B14</f>
        <v>0.054851532669019216</v>
      </c>
      <c r="H16" s="724">
        <f t="shared" si="0"/>
        <v>614511.8600000001</v>
      </c>
      <c r="I16" s="727">
        <f t="shared" si="1"/>
        <v>0.4143663439985059</v>
      </c>
    </row>
    <row r="17" spans="1:9" ht="27" customHeight="1">
      <c r="A17" s="723" t="s">
        <v>80</v>
      </c>
      <c r="B17" s="724">
        <v>4910030.79</v>
      </c>
      <c r="C17" s="725">
        <f>B17/(Parâmetros!C22)/1000000</f>
        <v>1.2905884336665362E-05</v>
      </c>
      <c r="D17" s="726">
        <f>B17/RCL!B14</f>
        <v>0.12840007391348096</v>
      </c>
      <c r="E17" s="724">
        <f>Dívida!C7</f>
        <v>3300000</v>
      </c>
      <c r="F17" s="725">
        <f>E17/(Parâmetros!C22)/1000000</f>
        <v>8.673961555950993E-06</v>
      </c>
      <c r="G17" s="726">
        <f>E17/RCL!B14</f>
        <v>0.08629686086235056</v>
      </c>
      <c r="H17" s="724">
        <f t="shared" si="0"/>
        <v>-1610030.79</v>
      </c>
      <c r="I17" s="727">
        <f t="shared" si="1"/>
        <v>-0.32790645494098825</v>
      </c>
    </row>
    <row r="18" spans="1:9" ht="28.5" customHeight="1" thickBot="1">
      <c r="A18" s="728" t="s">
        <v>81</v>
      </c>
      <c r="B18" s="729">
        <v>3383434.02</v>
      </c>
      <c r="C18" s="730">
        <f>B18/(Parâmetros!C22)/1000000</f>
        <v>8.893265641386888E-06</v>
      </c>
      <c r="D18" s="731">
        <f>B18/RCL!B14</f>
        <v>0.08847870753360103</v>
      </c>
      <c r="E18" s="729">
        <f>Dívida!C9</f>
        <v>2100000</v>
      </c>
      <c r="F18" s="730">
        <f>E18/(Parâmetros!C22)/1000000</f>
        <v>5.519793717423361E-06</v>
      </c>
      <c r="G18" s="731">
        <f>E18/RCL!B14</f>
        <v>0.05491618418513217</v>
      </c>
      <c r="H18" s="729">
        <f t="shared" si="0"/>
        <v>-1283434.02</v>
      </c>
      <c r="I18" s="732">
        <f t="shared" si="1"/>
        <v>-0.37932881575742977</v>
      </c>
    </row>
    <row r="19" spans="1:9" ht="12.75">
      <c r="A19" s="687" t="s">
        <v>229</v>
      </c>
      <c r="B19" s="687"/>
      <c r="C19" s="687"/>
      <c r="D19" s="687"/>
      <c r="E19" s="687"/>
      <c r="F19" s="687"/>
      <c r="G19" s="687"/>
      <c r="H19" s="687"/>
      <c r="I19" s="687"/>
    </row>
  </sheetData>
  <sheetProtection/>
  <mergeCells count="17">
    <mergeCell ref="A19:I19"/>
    <mergeCell ref="H7:I7"/>
    <mergeCell ref="A8:A10"/>
    <mergeCell ref="B8:B9"/>
    <mergeCell ref="E8:E9"/>
    <mergeCell ref="H8:I9"/>
    <mergeCell ref="A7:B7"/>
    <mergeCell ref="C8:C10"/>
    <mergeCell ref="F8:F10"/>
    <mergeCell ref="D8:D10"/>
    <mergeCell ref="G8:G10"/>
    <mergeCell ref="A5:I5"/>
    <mergeCell ref="A6:I6"/>
    <mergeCell ref="A1:I1"/>
    <mergeCell ref="A2:I2"/>
    <mergeCell ref="A3:I3"/>
    <mergeCell ref="A4:I4"/>
  </mergeCells>
  <printOptions/>
  <pageMargins left="0.787401575" right="0.787401575" top="0.984251969" bottom="0.984251969" header="0.492125985" footer="0.492125985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wilian</cp:lastModifiedBy>
  <cp:lastPrinted>2017-10-05T18:50:47Z</cp:lastPrinted>
  <dcterms:created xsi:type="dcterms:W3CDTF">2000-07-04T17:38:30Z</dcterms:created>
  <dcterms:modified xsi:type="dcterms:W3CDTF">2017-10-07T15:07:34Z</dcterms:modified>
  <cp:category/>
  <cp:version/>
  <cp:contentType/>
  <cp:contentStatus/>
</cp:coreProperties>
</file>